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30" windowWidth="16590" windowHeight="15600" activeTab="3"/>
  </bookViews>
  <sheets>
    <sheet name="80" sheetId="1" r:id="rId1"/>
    <sheet name="81" sheetId="4" r:id="rId2"/>
    <sheet name="x_81" sheetId="2" state="hidden" r:id="rId3"/>
    <sheet name="83" sheetId="3" r:id="rId4"/>
  </sheets>
  <externalReferences>
    <externalReference r:id="rId5"/>
    <externalReference r:id="rId6"/>
  </externalReferences>
  <definedNames>
    <definedName name="_xlnm.Print_Area" localSheetId="0">'80'!$A$3:$P$45</definedName>
    <definedName name="_xlnm.Print_Area" localSheetId="1">'81'!$A$2:$N$95</definedName>
    <definedName name="_xlnm.Print_Area" localSheetId="3">'83'!$A$1:$D$71</definedName>
    <definedName name="_xlnm.Print_Area" localSheetId="2">x_81!$A$1:$N$95</definedName>
  </definedNames>
  <calcPr calcId="125725"/>
</workbook>
</file>

<file path=xl/calcChain.xml><?xml version="1.0" encoding="utf-8"?>
<calcChain xmlns="http://schemas.openxmlformats.org/spreadsheetml/2006/main">
  <c r="I12" i="4"/>
  <c r="E12"/>
  <c r="M15"/>
  <c r="P13"/>
  <c r="P14"/>
  <c r="M11"/>
  <c r="G11"/>
  <c r="L12"/>
  <c r="I21" i="3" l="1"/>
  <c r="I22"/>
  <c r="I23"/>
  <c r="I24"/>
  <c r="I25"/>
  <c r="I26"/>
  <c r="I27"/>
  <c r="I28"/>
  <c r="I29"/>
  <c r="I30"/>
  <c r="I31"/>
  <c r="I32"/>
  <c r="C4"/>
  <c r="C3"/>
  <c r="C6" i="4"/>
  <c r="C5"/>
  <c r="C4"/>
  <c r="H41"/>
  <c r="F9" i="2" l="1"/>
  <c r="E9" s="1"/>
  <c r="I9"/>
  <c r="J9"/>
  <c r="K9"/>
  <c r="L9"/>
  <c r="M9"/>
  <c r="N94" i="4"/>
  <c r="M93"/>
  <c r="L93"/>
  <c r="K93"/>
  <c r="J93"/>
  <c r="I93"/>
  <c r="H93"/>
  <c r="N93" s="1"/>
  <c r="G93"/>
  <c r="F93"/>
  <c r="E93"/>
  <c r="N92"/>
  <c r="N91"/>
  <c r="H90"/>
  <c r="F90"/>
  <c r="E90"/>
  <c r="M89"/>
  <c r="L89"/>
  <c r="K89"/>
  <c r="J89"/>
  <c r="I89"/>
  <c r="G89"/>
  <c r="M88"/>
  <c r="L88"/>
  <c r="K88"/>
  <c r="J88"/>
  <c r="I88"/>
  <c r="G88"/>
  <c r="M87"/>
  <c r="L87"/>
  <c r="K87"/>
  <c r="J87"/>
  <c r="I87"/>
  <c r="G87"/>
  <c r="M86"/>
  <c r="L86"/>
  <c r="K86"/>
  <c r="J86"/>
  <c r="I86"/>
  <c r="G86"/>
  <c r="M85"/>
  <c r="L85"/>
  <c r="K85"/>
  <c r="J85"/>
  <c r="I85"/>
  <c r="G85"/>
  <c r="M84"/>
  <c r="L84"/>
  <c r="K84"/>
  <c r="K90" s="1"/>
  <c r="J84"/>
  <c r="I84"/>
  <c r="G84"/>
  <c r="M83"/>
  <c r="L83"/>
  <c r="K83"/>
  <c r="J83"/>
  <c r="I83"/>
  <c r="H83"/>
  <c r="N83" s="1"/>
  <c r="G83"/>
  <c r="F83"/>
  <c r="E83"/>
  <c r="N82"/>
  <c r="N81"/>
  <c r="N80"/>
  <c r="M79"/>
  <c r="L79"/>
  <c r="K79"/>
  <c r="J79"/>
  <c r="I79"/>
  <c r="H79"/>
  <c r="N79" s="1"/>
  <c r="G79"/>
  <c r="F79"/>
  <c r="E79"/>
  <c r="N78"/>
  <c r="N77"/>
  <c r="N76"/>
  <c r="N74"/>
  <c r="N73"/>
  <c r="N71"/>
  <c r="M70"/>
  <c r="L70"/>
  <c r="K70"/>
  <c r="J70"/>
  <c r="I70"/>
  <c r="H70"/>
  <c r="N70" s="1"/>
  <c r="G70"/>
  <c r="F70"/>
  <c r="E70"/>
  <c r="N69"/>
  <c r="N68"/>
  <c r="N67"/>
  <c r="N66"/>
  <c r="M65"/>
  <c r="L65"/>
  <c r="K65"/>
  <c r="J65"/>
  <c r="I65"/>
  <c r="H65"/>
  <c r="G65"/>
  <c r="F65"/>
  <c r="N65" s="1"/>
  <c r="E65"/>
  <c r="N64"/>
  <c r="N63"/>
  <c r="N62"/>
  <c r="N61"/>
  <c r="M60"/>
  <c r="L60"/>
  <c r="K60"/>
  <c r="J60"/>
  <c r="I60"/>
  <c r="H60"/>
  <c r="N60" s="1"/>
  <c r="G60"/>
  <c r="F60"/>
  <c r="E60"/>
  <c r="N59"/>
  <c r="N58"/>
  <c r="N57"/>
  <c r="N56"/>
  <c r="M55"/>
  <c r="L55"/>
  <c r="K55"/>
  <c r="J55"/>
  <c r="I55"/>
  <c r="H55"/>
  <c r="G55"/>
  <c r="F55"/>
  <c r="N55" s="1"/>
  <c r="E55"/>
  <c r="N54"/>
  <c r="N53"/>
  <c r="N52"/>
  <c r="N51"/>
  <c r="J48"/>
  <c r="H48"/>
  <c r="E48"/>
  <c r="M48"/>
  <c r="L48"/>
  <c r="K48"/>
  <c r="I48"/>
  <c r="G48"/>
  <c r="F48"/>
  <c r="N46"/>
  <c r="N45"/>
  <c r="N44"/>
  <c r="N43"/>
  <c r="N42"/>
  <c r="H49"/>
  <c r="H72" s="1"/>
  <c r="H75" s="1"/>
  <c r="N40"/>
  <c r="K39"/>
  <c r="H39"/>
  <c r="F39"/>
  <c r="E39"/>
  <c r="M39"/>
  <c r="L39"/>
  <c r="J39"/>
  <c r="I39"/>
  <c r="G39"/>
  <c r="N37"/>
  <c r="N36"/>
  <c r="N35"/>
  <c r="N34"/>
  <c r="N33"/>
  <c r="N32"/>
  <c r="N31"/>
  <c r="N30"/>
  <c r="M29"/>
  <c r="L29"/>
  <c r="K29"/>
  <c r="J29"/>
  <c r="I29"/>
  <c r="H29"/>
  <c r="G29"/>
  <c r="F29"/>
  <c r="E29"/>
  <c r="N28"/>
  <c r="N27"/>
  <c r="N26"/>
  <c r="N25"/>
  <c r="M24"/>
  <c r="L24"/>
  <c r="K24"/>
  <c r="J24"/>
  <c r="I24"/>
  <c r="H24"/>
  <c r="G24"/>
  <c r="F24"/>
  <c r="E24"/>
  <c r="N23"/>
  <c r="N22"/>
  <c r="N21"/>
  <c r="N20"/>
  <c r="N19"/>
  <c r="N18"/>
  <c r="N17"/>
  <c r="H16"/>
  <c r="E16"/>
  <c r="E41" s="1"/>
  <c r="E49" s="1"/>
  <c r="N15"/>
  <c r="P15" s="1"/>
  <c r="N14"/>
  <c r="N13"/>
  <c r="N12"/>
  <c r="P12" s="1"/>
  <c r="M16"/>
  <c r="M41" s="1"/>
  <c r="M49" s="1"/>
  <c r="L16"/>
  <c r="L41" s="1"/>
  <c r="L49" s="1"/>
  <c r="K16"/>
  <c r="K41" s="1"/>
  <c r="K49" s="1"/>
  <c r="K72" s="1"/>
  <c r="J16"/>
  <c r="J41" s="1"/>
  <c r="J49" s="1"/>
  <c r="I16"/>
  <c r="I41" s="1"/>
  <c r="I49" s="1"/>
  <c r="G16"/>
  <c r="G41" s="1"/>
  <c r="F16"/>
  <c r="F41" s="1"/>
  <c r="H9"/>
  <c r="G9"/>
  <c r="J9" s="1"/>
  <c r="G90" l="1"/>
  <c r="L90"/>
  <c r="L72" s="1"/>
  <c r="L75" s="1"/>
  <c r="L95" s="1"/>
  <c r="J90"/>
  <c r="N88"/>
  <c r="I90"/>
  <c r="M90"/>
  <c r="M72" s="1"/>
  <c r="M75" s="1"/>
  <c r="M95" s="1"/>
  <c r="N86"/>
  <c r="N85"/>
  <c r="N87"/>
  <c r="N89"/>
  <c r="N29"/>
  <c r="N24"/>
  <c r="G49"/>
  <c r="G72" s="1"/>
  <c r="G75" s="1"/>
  <c r="G95" s="1"/>
  <c r="K75"/>
  <c r="K95" s="1"/>
  <c r="E72"/>
  <c r="F49"/>
  <c r="F72" s="1"/>
  <c r="F75" s="1"/>
  <c r="F95" s="1"/>
  <c r="J72"/>
  <c r="J75" s="1"/>
  <c r="J95" s="1"/>
  <c r="N16"/>
  <c r="N39"/>
  <c r="N48"/>
  <c r="I9"/>
  <c r="M9"/>
  <c r="N11"/>
  <c r="P11" s="1"/>
  <c r="N47"/>
  <c r="N84"/>
  <c r="L9"/>
  <c r="N38"/>
  <c r="N41"/>
  <c r="K9"/>
  <c r="H95"/>
  <c r="F9"/>
  <c r="E9" s="1"/>
  <c r="N90" l="1"/>
  <c r="I72"/>
  <c r="I75" s="1"/>
  <c r="I95" s="1"/>
  <c r="E75"/>
  <c r="N49"/>
  <c r="N72" l="1"/>
  <c r="N75"/>
  <c r="E95"/>
  <c r="N95" s="1"/>
  <c r="C5" i="3" l="1"/>
  <c r="C6" i="2"/>
  <c r="K15"/>
  <c r="J12"/>
  <c r="K11"/>
  <c r="L15" l="1"/>
  <c r="I11"/>
  <c r="D71" i="3" l="1"/>
  <c r="I20" l="1"/>
  <c r="I19"/>
  <c r="I18"/>
  <c r="I17"/>
  <c r="I16"/>
  <c r="I15"/>
  <c r="I14"/>
  <c r="I13"/>
  <c r="I12"/>
  <c r="I11"/>
  <c r="I10"/>
  <c r="I9"/>
  <c r="I8"/>
  <c r="N94" i="2"/>
  <c r="M93"/>
  <c r="L93"/>
  <c r="K93"/>
  <c r="J93"/>
  <c r="I93"/>
  <c r="H93"/>
  <c r="G93"/>
  <c r="F93"/>
  <c r="E93"/>
  <c r="N92"/>
  <c r="N91"/>
  <c r="H90"/>
  <c r="F90"/>
  <c r="E90"/>
  <c r="M83"/>
  <c r="L83"/>
  <c r="K83"/>
  <c r="J83"/>
  <c r="I83"/>
  <c r="H83"/>
  <c r="G83"/>
  <c r="F83"/>
  <c r="N83" s="1"/>
  <c r="E83"/>
  <c r="N82"/>
  <c r="N81"/>
  <c r="N80"/>
  <c r="M79"/>
  <c r="L79"/>
  <c r="K79"/>
  <c r="J79"/>
  <c r="I79"/>
  <c r="H79"/>
  <c r="G79"/>
  <c r="F79"/>
  <c r="N79" s="1"/>
  <c r="E79"/>
  <c r="N78"/>
  <c r="N77"/>
  <c r="N76"/>
  <c r="N74"/>
  <c r="N73"/>
  <c r="N71"/>
  <c r="M70"/>
  <c r="L70"/>
  <c r="K70"/>
  <c r="J70"/>
  <c r="I70"/>
  <c r="H70"/>
  <c r="G70"/>
  <c r="F70"/>
  <c r="N70" s="1"/>
  <c r="E70"/>
  <c r="N69"/>
  <c r="N68"/>
  <c r="N67"/>
  <c r="N66"/>
  <c r="M65"/>
  <c r="L65"/>
  <c r="K65"/>
  <c r="J65"/>
  <c r="I65"/>
  <c r="H65"/>
  <c r="N65" s="1"/>
  <c r="G65"/>
  <c r="F65"/>
  <c r="E65"/>
  <c r="N64"/>
  <c r="N63"/>
  <c r="N62"/>
  <c r="N61"/>
  <c r="M60"/>
  <c r="L60"/>
  <c r="K60"/>
  <c r="J60"/>
  <c r="I60"/>
  <c r="H60"/>
  <c r="G60"/>
  <c r="F60"/>
  <c r="N60" s="1"/>
  <c r="E60"/>
  <c r="N59"/>
  <c r="N58"/>
  <c r="N57"/>
  <c r="N56"/>
  <c r="M55"/>
  <c r="L55"/>
  <c r="K55"/>
  <c r="J55"/>
  <c r="I55"/>
  <c r="H55"/>
  <c r="N55" s="1"/>
  <c r="G55"/>
  <c r="F55"/>
  <c r="E55"/>
  <c r="N54"/>
  <c r="N53"/>
  <c r="N52"/>
  <c r="N51"/>
  <c r="H48"/>
  <c r="E48"/>
  <c r="N46"/>
  <c r="N45"/>
  <c r="N44"/>
  <c r="N43"/>
  <c r="N42"/>
  <c r="H39"/>
  <c r="E39"/>
  <c r="N37"/>
  <c r="N36"/>
  <c r="N35"/>
  <c r="N34"/>
  <c r="N33"/>
  <c r="N32"/>
  <c r="N31"/>
  <c r="N30"/>
  <c r="M29"/>
  <c r="L29"/>
  <c r="K29"/>
  <c r="J29"/>
  <c r="I29"/>
  <c r="H29"/>
  <c r="N29" s="1"/>
  <c r="G29"/>
  <c r="F29"/>
  <c r="E29"/>
  <c r="N28"/>
  <c r="N27"/>
  <c r="N26"/>
  <c r="N25"/>
  <c r="M24"/>
  <c r="L24"/>
  <c r="K24"/>
  <c r="J24"/>
  <c r="I24"/>
  <c r="H24"/>
  <c r="G24"/>
  <c r="F24"/>
  <c r="N24" s="1"/>
  <c r="E24"/>
  <c r="N23"/>
  <c r="N22"/>
  <c r="N21"/>
  <c r="N20"/>
  <c r="N19"/>
  <c r="H16"/>
  <c r="E16"/>
  <c r="O4"/>
  <c r="J89" s="1"/>
  <c r="B7" i="1"/>
  <c r="K13" i="2" l="1"/>
  <c r="K16" s="1"/>
  <c r="K41" s="1"/>
  <c r="K49" s="1"/>
  <c r="G38"/>
  <c r="G39" s="1"/>
  <c r="H41"/>
  <c r="H49" s="1"/>
  <c r="H72" s="1"/>
  <c r="H75" s="1"/>
  <c r="H95" s="1"/>
  <c r="G13"/>
  <c r="G14"/>
  <c r="L14"/>
  <c r="G15"/>
  <c r="J17"/>
  <c r="J18"/>
  <c r="I38"/>
  <c r="I39" s="1"/>
  <c r="M39"/>
  <c r="F40"/>
  <c r="E41"/>
  <c r="G47"/>
  <c r="G48" s="1"/>
  <c r="L48"/>
  <c r="G84"/>
  <c r="L84"/>
  <c r="I85"/>
  <c r="M85"/>
  <c r="J86"/>
  <c r="K87"/>
  <c r="G88"/>
  <c r="L88"/>
  <c r="I89"/>
  <c r="M89"/>
  <c r="K14"/>
  <c r="J40"/>
  <c r="F47"/>
  <c r="K47"/>
  <c r="K48" s="1"/>
  <c r="K84"/>
  <c r="G85"/>
  <c r="L85"/>
  <c r="I86"/>
  <c r="M86"/>
  <c r="J87"/>
  <c r="K88"/>
  <c r="G89"/>
  <c r="L89"/>
  <c r="N93"/>
  <c r="F13"/>
  <c r="F15"/>
  <c r="I17"/>
  <c r="I18"/>
  <c r="L39"/>
  <c r="J13"/>
  <c r="J14"/>
  <c r="G17"/>
  <c r="G18"/>
  <c r="F38"/>
  <c r="K38"/>
  <c r="K39" s="1"/>
  <c r="I40"/>
  <c r="J47"/>
  <c r="J48" s="1"/>
  <c r="J84"/>
  <c r="K85"/>
  <c r="G86"/>
  <c r="L86"/>
  <c r="I87"/>
  <c r="M87"/>
  <c r="J88"/>
  <c r="K89"/>
  <c r="F14"/>
  <c r="I13"/>
  <c r="M13"/>
  <c r="M16" s="1"/>
  <c r="I14"/>
  <c r="M14"/>
  <c r="F17"/>
  <c r="F18"/>
  <c r="N18" s="1"/>
  <c r="K18"/>
  <c r="J38"/>
  <c r="J39" s="1"/>
  <c r="G40"/>
  <c r="I47"/>
  <c r="I48" s="1"/>
  <c r="M47"/>
  <c r="M48" s="1"/>
  <c r="I84"/>
  <c r="M84"/>
  <c r="J85"/>
  <c r="K86"/>
  <c r="G87"/>
  <c r="L87"/>
  <c r="I88"/>
  <c r="M88"/>
  <c r="N89" l="1"/>
  <c r="J41"/>
  <c r="J49" s="1"/>
  <c r="N11"/>
  <c r="F16"/>
  <c r="N47"/>
  <c r="F48"/>
  <c r="N48" s="1"/>
  <c r="E49"/>
  <c r="N14"/>
  <c r="N87"/>
  <c r="M90"/>
  <c r="N17"/>
  <c r="J90"/>
  <c r="J16"/>
  <c r="N12"/>
  <c r="G16"/>
  <c r="G41" s="1"/>
  <c r="G49" s="1"/>
  <c r="G72" s="1"/>
  <c r="G75" s="1"/>
  <c r="N84"/>
  <c r="G90"/>
  <c r="N13"/>
  <c r="L16"/>
  <c r="L41" s="1"/>
  <c r="I16"/>
  <c r="I41" s="1"/>
  <c r="I49" s="1"/>
  <c r="K90"/>
  <c r="L90"/>
  <c r="N40"/>
  <c r="N38"/>
  <c r="F39"/>
  <c r="N86"/>
  <c r="N15"/>
  <c r="I90"/>
  <c r="M41"/>
  <c r="M49" s="1"/>
  <c r="N85"/>
  <c r="N88"/>
  <c r="M72" l="1"/>
  <c r="M75" s="1"/>
  <c r="L49"/>
  <c r="L72" s="1"/>
  <c r="L75" s="1"/>
  <c r="L95" s="1"/>
  <c r="N39"/>
  <c r="F41"/>
  <c r="N41" s="1"/>
  <c r="G95"/>
  <c r="N90"/>
  <c r="I72"/>
  <c r="I75" s="1"/>
  <c r="I95" s="1"/>
  <c r="E72"/>
  <c r="M95"/>
  <c r="K72"/>
  <c r="K75" s="1"/>
  <c r="K95" s="1"/>
  <c r="N16"/>
  <c r="J72"/>
  <c r="J75" s="1"/>
  <c r="J95" s="1"/>
  <c r="E75" l="1"/>
  <c r="F49"/>
  <c r="N49" s="1"/>
  <c r="F72" l="1"/>
  <c r="E95"/>
  <c r="E96" l="1"/>
  <c r="F75"/>
  <c r="N72"/>
  <c r="F95" l="1"/>
  <c r="N75"/>
  <c r="F96" l="1"/>
  <c r="N95"/>
</calcChain>
</file>

<file path=xl/comments1.xml><?xml version="1.0" encoding="utf-8"?>
<comments xmlns="http://schemas.openxmlformats.org/spreadsheetml/2006/main">
  <authors>
    <author>Autor</author>
  </authors>
  <commentList>
    <comment ref="I7" authorId="0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 První část rodného čísla</t>
        </r>
      </text>
    </comment>
    <comment ref="N7" authorId="0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Druhá část rodného čísla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C1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služeb podle mandátních smluv,kdy se investorská organizace nechá zastupovat ve stavebním řízení, ve výkonu stavebního dozoru, v zabezpečení přípravy výběrových řízení a pod. a to v případech kdy se jedná o činnosti zabezpečující pořízení nebo technické zhodnocení dlouhodobého majetku.</t>
        </r>
      </text>
    </comment>
    <comment ref="C1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dokumentace pro územní a stavební řízení podle stavebního řádu a dokumentace skutečného provedení stavby.</t>
        </r>
      </text>
    </comment>
    <comment ref="C1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na výkupy pozemků, které jsou nezbytnou podmínkou realizace stavby,tj.stavba bude na pozemku umístěna atd.</t>
        </r>
      </text>
    </comment>
    <comment ref="C1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úplatné převody nemovitostí,které jsou nezbytnou podmínkou realizace stavby, tj.vykoupené budovy a stavby budou odstraněny atd.</t>
        </r>
      </text>
    </comment>
    <comment ref="C1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náklady, které se nedají zařadit do výše uvedených  řádků 8121 1 až 8121 4 tj. na příklad náklady na architektonické a urbanistické soutěže, náklady na výběrová řízení při zadávání inženýrských činností, vypracování projekt.dokumentací, staveb, strojů a zařízení a pod. Uvádí se rovněž náklady na geologické průzkumy, poplatky za vydání územního rozhodnutí, stavebního povolení a pod. </t>
        </r>
      </text>
    </comment>
    <comment ref="C1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8121 1 + 8121 2 + 8121 3 + 8121 4 + 8121 9</t>
        </r>
      </text>
    </comment>
    <comment ref="C1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souhrnu všech stavebních objektů (SO) uvedených ve schválené dokumentaci stavby. Stavbou se rozumí pořízení a technické zhodnocení hmotného dlouhodobého majetku účtové tř.021 budovy, haly a stavby. </t>
        </r>
      </text>
    </comment>
    <comment ref="C1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souhrnu všech provozních souborů (PS) uvedených ve schválené dokumentaci stavby.</t>
        </r>
      </text>
    </comment>
    <comment ref="C1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všech druhů dopravních prostředků
</t>
        </r>
      </text>
    </comment>
    <comment ref="C2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hardware a ostatních zařízení výpočetních a informačních systémů </t>
        </r>
      </text>
    </comment>
    <comment ref="C2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vojenskou techniku a zařízení určené ministerstvem obrany. </t>
        </r>
      </text>
    </comment>
    <comment ref="C2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zdravotnickou techniku a zařízení</t>
        </r>
      </text>
    </comment>
    <comment ref="C2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jiných než výše uvedených strojů,zařízení a inventáře</t>
        </r>
      </text>
    </comment>
    <comment ref="C2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8126 1 + 8126 2 + 8126 3 +  8126 9</t>
        </r>
      </text>
    </comment>
    <comment ref="C2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programového vybavení (software) výpočetních a inform.systémů</t>
        </r>
      </text>
    </comment>
    <comment ref="C2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vynaložené na pořízení ocenitelných průmyslových, autorských a jiných práv</t>
        </r>
      </text>
    </comment>
    <comment ref="C2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vynaložené na pořízení výsledků výzkumné a obdobné činnosti </t>
        </r>
      </text>
    </comment>
    <comment ref="C2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jiného než výše uvedeného nehmot.majetku jako jsou objemové studie, investiční záměry, územně plánovací dokumentace atd.</t>
        </r>
      </text>
    </comment>
    <comment ref="C2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8127 1 + 8127 2 + 8127 3 + 8127  9</t>
        </r>
      </text>
    </comment>
    <comment ref="C3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pěstitelských celků trvalých porostů.</t>
        </r>
      </text>
    </comment>
    <comment ref="C3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odvody za odnětí zemědělské půdy a poplatky za odnětí lesní půdy.</t>
        </r>
      </text>
    </comment>
    <comment ref="C3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úplatného převodu pozemků k jinému účelu než je uvedeno v řádku 8121 3</t>
        </r>
      </text>
    </comment>
    <comment ref="C3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úplatného převodu nemovitostí k jinému účelu než je uvedeno v řádku 8121 4</t>
        </r>
      </text>
    </comment>
    <comment ref="C3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neuvažuje resp.nebyla poskytnuta záruka státního rozpočtu a to pouze po dobu výstavby. V případě, že se provádí úhrada úroků před zahájením a po ukončení stavby pak se jedná o běžný výdaj, který se vede na řádku 8228 5 formuláře RA 82.</t>
        </r>
      </text>
    </comment>
    <comment ref="C3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uvažuje resp.byla poskytnuta záruka státního rozpočtu, při čemž záruku může poskytnout pouze vláda ČR.Ostatní podmínky jsou stejné jako u řádku 8128 5.</t>
        </r>
      </text>
    </comment>
    <comment ref="C3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dodavatelských úvěrů (definice viz řádek 8149 2) v případě, že jsou v příslušné smlouvě specifikovány.V opačném případě jsou součástí splátek tohoto úvěru viz řádek 8133 2.</t>
        </r>
      </text>
    </comment>
    <comment ref="C3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na tzv. účelně vynaložené náklady jiným organizacím, které v souladu s účetní osnovou vstupují do pořizovací ceny investice tj. podíly na účelně vynaložených nákladech dodavatele spojených s připojením a zajištěním požadovaného příkonu nebo požadované dodávky plynu a tepla, jakož i úhrada vlastníkovi rozvodného zařízení na přeložku tohoto zařízení.</t>
        </r>
      </text>
    </comment>
    <comment ref="C3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základního stáda hospodářských zvířat a jiné investiční náklady, které nelze přiřadit k výše uvedeným ukazatelům.</t>
        </r>
      </text>
    </comment>
    <comment ref="C3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8128 1 + 8128 2 + 8128 3 + 8128 4 + 8128 5 +8128 6 + 8128 7 + 8128 8 + 8128 9</t>
        </r>
      </text>
    </comment>
    <comment ref="C4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pouze rozpočtové údaje podle metodiky stanovené správcem programu.</t>
        </r>
      </text>
    </comment>
    <comment ref="C4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8121S + 8124 + 8125 + 8126S + 8127S +  8128S + 8129</t>
        </r>
      </text>
    </comment>
    <comment ref="C4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úhrady splátek návratných finančních výpomocí poskytnutých ze státního rozpočtu.</t>
        </r>
      </text>
    </comment>
    <comment ref="C4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úvěrů zaručených vládou ČR.</t>
        </r>
      </text>
    </comment>
    <comment ref="C4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komerčních úvěrů poskytnutých bez záruky vlády ČR.</t>
        </r>
      </text>
    </comment>
    <comment ref="C4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poskytované na základě smlouvy o sdružení prostředků k pořízení nebo technickému zhodnocení dlouhodobého hmotného majetku.</t>
        </r>
      </text>
    </comment>
    <comment ref="C4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dodavatelských úvěrů tj.úvěrů, které budou poskytnuty v rámci smluv o energetických službách v systému Energy performance contracting  uzavíraných podle metodických pokynů  vydaných MPO, nebo dodavatelských úvěrů odsouhlasených MF.</t>
        </r>
      </text>
    </comment>
    <comment ref="C4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finanční potřeby,které nelze zařadit do řádků 8139 1 a 8139 2.</t>
        </r>
      </text>
    </comment>
    <comment ref="C4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8139 1 + 8139 2 + 8139 9</t>
        </r>
      </text>
    </comment>
    <comment ref="C4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 812 S + 8130 + 8131 + 8132 + 8133 S</t>
        </r>
      </text>
    </comment>
    <comment ref="C5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veškeré vlastní zdroje kterými disponuje investor tj.odpisy,rozdělení zisku,výnosy z prodeje dlouhodobého majetku atd.</t>
        </r>
      </text>
    </comment>
    <comment ref="C5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přijaté bankovní úvěry,u kterých se neuvažuje resp.nebyla poskytnuta záruka schválená vládou. </t>
        </r>
      </text>
    </comment>
    <comment ref="C5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úvěry,u kterých se počítá resp.byla poskytnuta záruka schválená vládou, určené na financování investičních akcí stanovených MF v rámci schválené dokumentace programu. Příjemcem úvěru bude Konsolidační banka s.p.ú.  (KoB) nebo Česko moravská záruční a rozvojová banka  (ČMZRB), které budou provádět úhrady faktur za provedené práce a dodávky a poskytovat zálohy dodavatelům podle pravidel dohodnutých mezi MF a těmito bankami s tím,že investor účtuje o těchto úhradách způsobem stanoveným ministerstvem financí.</t>
        </r>
      </text>
    </comment>
    <comment ref="C5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zaručené úvěry jiného druhu než je uvedeno v řádku 8143 1 </t>
        </r>
      </text>
    </comment>
    <comment ref="C5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8143 1 + 8143 9</t>
        </r>
      </text>
    </comment>
    <comment ref="C56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MF : </t>
        </r>
        <r>
          <rPr>
            <sz val="8"/>
            <color indexed="81"/>
            <rFont val="Tahoma"/>
            <family val="2"/>
            <charset val="238"/>
          </rPr>
          <t xml:space="preserve">
Uvádí se návratná finanční výpomoc poskytnutá příspěvkové organizaci a ostatním subj. ze státního rozpočtu na pořízení nebo technické zhodnocení dlouhodobého majetku, v souladu se schválenou dokumentací programu.Podmínky pro čerpání prostředků státního rozpočtu stanoví správce programu rozhodnutím, obsahující mimo jiné též závazné věcné, časové a finanční parametry, které budou vyhodnoceny po dokončení realizace akce. Uvádí se posledně platný rozpočet (skutečné čerpání výdajů státního rozpočtu.
</t>
        </r>
      </text>
    </comment>
    <comment ref="C57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 
Uvádí se převody nečerpané návratné finanční výpomoci do následujícího roku podle zákona č.218/2000 Sb.,prostřednictvím rezervního fondu správce programu
</t>
        </r>
      </text>
    </comment>
    <comment ref="C5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MF : 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nečerpané návratné finanční výpomoci do následujícího roku podle zvláštních předpisů,prostřednictvím Národního fondu obdobně jako v ř.8144 2
</t>
        </r>
      </text>
    </comment>
    <comment ref="C59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nečerpané návratné finanční výpomoci do následujícího roku podle zvláštních předpisů,prostřednictvím Státních finančních aktiv obdobně jako v ř.8144 3</t>
        </r>
      </text>
    </comment>
    <comment ref="C6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8144 1 až 8144 4</t>
        </r>
      </text>
    </comment>
    <comment ref="C6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účelově určené výdaje rozpočtové organizace, dotace příspěvkové organizaci, a dotace ostatním subj. ze státního rozpočtu na pořízení nebo technické zhodnocení dlouhodobého majetku, v souladu se schválenou dokumentací programu.Podmínky pro čerpání prostředků státního rozpočtu stanoví správce programu rozhodnutím, obsahující mimo jiné též závazné věcné, časové a finanční parametry, které budou vyhodnoceny po dokončení realizace akce. Obdobně jako v řádku 8144 1 se uvádí posledně platný rozpočet (skutečně čerpané výdaje).</t>
        </r>
      </text>
    </comment>
    <comment ref="C62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zákona č.218/2000 Sb.,prostřednictvím rezervního fondu správce programu obdobně jako je uvedeno v ř.8144 2.</t>
        </r>
      </text>
    </comment>
    <comment ref="C63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Národního fondu obdobně jako je uvedeno v ř.8144 3.</t>
        </r>
      </text>
    </comment>
    <comment ref="C64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Státních finančních aktiv obdobně jako je uvedeno v ř.8144 3.</t>
        </r>
      </text>
    </comment>
    <comment ref="C6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8145 1 až 8145 4 </t>
        </r>
      </text>
    </comment>
    <comment ref="C6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účelově určené výdaje rozpočtových organizací, dotace příspěvkovým orgnizacím  a dotace ostatním subj. ze státního rozpočtu na pořízení nebo technické zhodnocení majetku, které jsou poskytovány na rozhodující invest. akce zabezpečující cíle schváleného programu.Registraci akce v ISPROFIN, souhlas s jejím zadáním a rozhodnutí obsahující závazné parametry a podmínky čerpání prostředků státního rozpočtu vydává správce programu a to pouze se souhlasem MF. Obdobně jako v řádcích 8144 1 a 8145 1 se uvádí posledně platný rozpočet.</t>
        </r>
      </text>
    </comment>
    <comment ref="C67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zákona č.218/2000 Sb.,prostřednictvím rezervního fondu správce programu obdobně jako je uvedeno v ř.8145 2.</t>
        </r>
      </text>
    </comment>
    <comment ref="C68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Národního fondu obdobně jako je uvedeno v ř.8145 3.</t>
        </r>
      </text>
    </comment>
    <comment ref="C69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Státních finančních aktiv obdobně jako je uvedeno v ř.8145 3.</t>
        </r>
      </text>
    </comment>
    <comment ref="C7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8146 1 až 8146 4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životního prostředí.</t>
        </r>
      </text>
    </comment>
    <comment ref="C72" authorId="0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dopravní infrastruktury.</t>
        </r>
      </text>
    </comment>
    <comment ref="C7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rozvoje bydlení</t>
        </r>
      </text>
    </comment>
    <comment ref="C7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jiných než výše uvedených státních fondů</t>
        </r>
      </text>
    </comment>
    <comment ref="C7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8147 1 + 8147 2 + 8147 3 + 8147 9</t>
        </r>
      </text>
    </comment>
    <comment ref="C7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obce</t>
        </r>
      </text>
    </comment>
    <comment ref="C7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okresu (okresního úřadu)</t>
        </r>
      </text>
    </comment>
    <comment ref="C7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kraje (krajského úřadu)</t>
        </r>
      </text>
    </comment>
    <comment ref="C7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8148 1 + 8148 2 + 8148 3</t>
        </r>
      </text>
    </comment>
    <comment ref="C8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od jiných investorů na základě smlouvy o sdružení finančních prostředků.</t>
        </r>
      </text>
    </comment>
    <comment ref="C8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přijaté dodavatelské úvěry tj.úvěry,které budou poskytnuty v rámci smluv o energetických službách v systému EPC (Energy performance contracting) uzavíraných podle metodických pokynů "Aplikace metody EPC ve veřejném sektoru" vydaných MPO v roce 1999,nebo dodavatelských úvěrů jejichž přijetí bude předem odsouhlaseno MF. </t>
        </r>
      </text>
    </comment>
    <comment ref="C8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finanční zdroje,které nelze zařadit do řádků 8149 1 až 8149 2.</t>
        </r>
      </text>
    </comment>
    <comment ref="C8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8149 1 + 8149 2 + 8149 9</t>
        </r>
      </text>
    </comment>
    <comment ref="C8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PHARE</t>
        </r>
      </text>
    </comment>
    <comment ref="C8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SAPARD</t>
        </r>
      </text>
    </comment>
    <comment ref="C8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ISPA</t>
        </r>
      </text>
    </comment>
    <comment ref="C8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kohezního fondu EU </t>
        </r>
      </text>
    </comment>
    <comment ref="C8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strukturálních fondů EU </t>
        </r>
      </text>
    </comment>
    <comment ref="C8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prostředky poskytnuté jinými než výše uvedenými fondy EU </t>
        </r>
      </text>
    </comment>
    <comment ref="C9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8151 1 + 8151 2 + 8151 3 + 8151 4 + 8151 5 + 8151 9</t>
        </r>
      </text>
    </comment>
    <comment ref="C9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prostředky poskytnuté členskými zeměmi na financování bezpečnostních investic schválených orgány NATO.</t>
        </r>
      </text>
    </comment>
    <comment ref="C9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prostředky poskytnuté jinými než výše uvedenými fondy NATO</t>
        </r>
      </text>
    </comment>
    <comment ref="C9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8152 1 + 8152 9</t>
        </r>
      </text>
    </comment>
    <comment ref="C9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zdroje ze zahraničí, které nelze zařadit do výše uvedených řádků.</t>
        </r>
      </text>
    </comment>
    <comment ref="C9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8159+8152 S+8151 S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O4" authorId="0">
      <text>
        <r>
          <rPr>
            <sz val="11"/>
            <color indexed="81"/>
            <rFont val="Calibri"/>
            <family val="2"/>
            <charset val="238"/>
            <scheme val="minor"/>
          </rPr>
          <t xml:space="preserve">V případě, že se jedná o neinvestiční stavbu dle VZORU 82 </t>
        </r>
        <r>
          <rPr>
            <b/>
            <sz val="11"/>
            <color indexed="81"/>
            <rFont val="Calibri"/>
            <family val="2"/>
            <charset val="238"/>
            <scheme val="minor"/>
          </rPr>
          <t>nebude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 vyplněn formulář </t>
        </r>
        <r>
          <rPr>
            <b/>
            <sz val="11"/>
            <color indexed="81"/>
            <rFont val="Calibri"/>
            <family val="2"/>
            <charset val="238"/>
            <scheme val="minor"/>
          </rPr>
          <t>VZOR 81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služeb podle mandátních smluv,kdy se investorská organizace nechá zastupovat ve stavebním řízení, ve výkonu stavebního dozoru, v zabezpečení přípravy výběrových řízení a pod. a to v případech kdy se jedná o činnosti zabezpečující pořízení nebo technické zhodnocení dlouhodobého majetku.</t>
        </r>
      </text>
    </comment>
    <comment ref="C1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dokumentace pro územní a stavební řízení podle stavebního řádu a dokumentace skutečného provedení stavby.</t>
        </r>
      </text>
    </comment>
    <comment ref="C1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na výkupy pozemků, které jsou nezbytnou podmínkou realizace stavby,tj.stavba bude na pozemku umístěna atd.</t>
        </r>
      </text>
    </comment>
    <comment ref="C1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úplatné převody nemovitostí,které jsou nezbytnou podmínkou realizace stavby, tj.vykoupené budovy a stavby budou odstraněny atd.</t>
        </r>
      </text>
    </comment>
    <comment ref="C1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náklady, které se nedají zařadit do výše uvedených  řádků 8121 1 až 8121 4 tj. na příklad náklady na architektonické a urbanistické soutěže, náklady na výběrová řízení při zadávání inženýrských činností, vypracování projekt.dokumentací, staveb, strojů a zařízení a pod. Uvádí se rovněž náklady na geologické průzkumy, poplatky za vydání územního rozhodnutí, stavebního povolení a pod. </t>
        </r>
      </text>
    </comment>
    <comment ref="C1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8121 1 + 8121 2 + 8121 3 + 8121 4 + 8121 9</t>
        </r>
      </text>
    </comment>
    <comment ref="C1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souhrnu všech stavebních objektů (SO) uvedených ve schválené dokumentaci stavby. Stavbou se rozumí pořízení a technické zhodnocení hmotného dlouhodobého majetku účtové tř.021 budovy, haly a stavby. </t>
        </r>
      </text>
    </comment>
    <comment ref="C1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souhrnu všech provozních souborů (PS) uvedených ve schválené dokumentaci stavby.</t>
        </r>
      </text>
    </comment>
    <comment ref="C1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všech druhů dopravních prostředků
</t>
        </r>
      </text>
    </comment>
    <comment ref="C2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hardware a ostatních zařízení výpočetních a informačních systémů </t>
        </r>
      </text>
    </comment>
    <comment ref="C2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vojenskou techniku a zařízení určené ministerstvem obrany. </t>
        </r>
      </text>
    </comment>
    <comment ref="C2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zdravotnickou techniku a zařízení</t>
        </r>
      </text>
    </comment>
    <comment ref="C2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jiných než výše uvedených strojů,zařízení a inventáře</t>
        </r>
      </text>
    </comment>
    <comment ref="C2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8126 1 + 8126 2 + 8126 3 +  8126 9</t>
        </r>
      </text>
    </comment>
    <comment ref="C2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programového vybavení (software) výpočetních a inform.systémů</t>
        </r>
      </text>
    </comment>
    <comment ref="C2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vynaložené na pořízení ocenitelných průmyslových, autorských a jiných práv</t>
        </r>
      </text>
    </comment>
    <comment ref="C2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vynaložené na pořízení výsledků výzkumné a obdobné činnosti </t>
        </r>
      </text>
    </comment>
    <comment ref="C2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jiného než výše uvedeného nehmot.majetku jako jsou objemové studie, investiční záměry, územně plánovací dokumentace atd.</t>
        </r>
      </text>
    </comment>
    <comment ref="C2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8127 1 + 8127 2 + 8127 3 + 8127  9</t>
        </r>
      </text>
    </comment>
    <comment ref="C3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pěstitelských celků trvalých porostů.</t>
        </r>
      </text>
    </comment>
    <comment ref="C3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odvody za odnětí zemědělské půdy a poplatky za odnětí lesní půdy.</t>
        </r>
      </text>
    </comment>
    <comment ref="C3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náklady úplatného převodu pozemků k jinému účelu než je uvedeno v řádku 8121 3</t>
        </r>
      </text>
    </comment>
    <comment ref="C3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úplatného převodu nemovitostí k jinému účelu než je uvedeno v řádku 8121 4</t>
        </r>
      </text>
    </comment>
    <comment ref="C3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neuvažuje resp.nebyla poskytnuta záruka státního rozpočtu a to pouze po dobu výstavby. V případě, že se provádí úhrada úroků před zahájením a po ukončení stavby pak se jedná o běžný výdaj, který se vede na řádku 8228 5 formuláře RA 82.</t>
        </r>
      </text>
    </comment>
    <comment ref="C3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uvažuje resp.byla poskytnuta záruka státního rozpočtu, při čemž záruku může poskytnout pouze vláda ČR.Ostatní podmínky jsou stejné jako u řádku 8128 5.</t>
        </r>
      </text>
    </comment>
    <comment ref="C3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dodavatelských úvěrů (definice viz řádek 8149 2) v případě, že jsou v příslušné smlouvě specifikovány.V opačném případě jsou součástí splátek tohoto úvěru viz řádek 8133 2.</t>
        </r>
      </text>
    </comment>
    <comment ref="C3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na tzv. účelně vynaložené náklady jiným organizacím, které v souladu s účetní osnovou vstupují do pořizovací ceny investice tj. podíly na účelně vynaložených nákladech dodavatele spojených s připojením a zajištěním požadovaného příkonu nebo požadované dodávky plynu a tepla, jakož i úhrada vlastníkovi rozvodného zařízení na přeložku tohoto zařízení.</t>
        </r>
      </text>
    </comment>
    <comment ref="C3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základního stáda hospodářských zvířat a jiné investiční náklady, které nelze přiřadit k výše uvedeným ukazatelům.</t>
        </r>
      </text>
    </comment>
    <comment ref="C3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8128 1 + 8128 2 + 8128 3 + 8128 4 + 8128 5 +8128 6 + 8128 7 + 8128 8 + 8128 9</t>
        </r>
      </text>
    </comment>
    <comment ref="C4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pouze rozpočtové údaje podle metodiky stanovené správcem programu.</t>
        </r>
      </text>
    </comment>
    <comment ref="C4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8121S + 8124 + 8125 + 8126S + 8127S +  8128S + 8129</t>
        </r>
      </text>
    </comment>
    <comment ref="C4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úhrady splátek návratných finančních výpomocí poskytnutých ze státního rozpočtu.</t>
        </r>
      </text>
    </comment>
    <comment ref="C4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úvěrů zaručených vládou ČR.</t>
        </r>
      </text>
    </comment>
    <comment ref="C4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komerčních úvěrů poskytnutých bez záruky vlády ČR.</t>
        </r>
      </text>
    </comment>
    <comment ref="C4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poskytované na základě smlouvy o sdružení prostředků k pořízení nebo technickému zhodnocení dlouhodobého hmotného majetku.</t>
        </r>
      </text>
    </comment>
    <comment ref="C4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dodavatelských úvěrů tj.úvěrů, které budou poskytnuty v rámci smluv o energetických službách v systému Energy performance contracting  uzavíraných podle metodických pokynů  vydaných MPO, nebo dodavatelských úvěrů odsouhlasených MF.</t>
        </r>
      </text>
    </comment>
    <comment ref="C4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finanční potřeby,které nelze zařadit do řádků 8139 1 a 8139 2.</t>
        </r>
      </text>
    </comment>
    <comment ref="C4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8139 1 + 8139 2 + 8139 9</t>
        </r>
      </text>
    </comment>
    <comment ref="C4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 812 S + 8130 + 8131 + 8132 + 8133 S</t>
        </r>
      </text>
    </comment>
    <comment ref="C5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veškeré vlastní zdroje kterými disponuje investor tj.odpisy,rozdělení zisku,výnosy z prodeje dlouhodobého majetku atd.</t>
        </r>
      </text>
    </comment>
    <comment ref="C5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přijaté bankovní úvěry,u kterých se neuvažuje resp.nebyla poskytnuta záruka schválená vládou. </t>
        </r>
      </text>
    </comment>
    <comment ref="C5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úvěry,u kterých se počítá resp.byla poskytnuta záruka schválená vládou, určené na financování investičních akcí stanovených MF v rámci schválené dokumentace programu. Příjemcem úvěru bude Konsolidační banka s.p.ú.  (KoB) nebo Česko moravská záruční a rozvojová banka  (ČMZRB), které budou provádět úhrady faktur za provedené práce a dodávky a poskytovat zálohy dodavatelům podle pravidel dohodnutých mezi MF a těmito bankami s tím,že investor účtuje o těchto úhradách způsobem stanoveným ministerstvem financí.</t>
        </r>
      </text>
    </comment>
    <comment ref="C5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zaručené úvěry jiného druhu než je uvedeno v řádku 8143 1 </t>
        </r>
      </text>
    </comment>
    <comment ref="C5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8143 1 + 8143 9</t>
        </r>
      </text>
    </comment>
    <comment ref="C56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MF : </t>
        </r>
        <r>
          <rPr>
            <sz val="8"/>
            <color indexed="81"/>
            <rFont val="Tahoma"/>
            <family val="2"/>
            <charset val="238"/>
          </rPr>
          <t xml:space="preserve">
Uvádí se návratná finanční výpomoc poskytnutá příspěvkové organizaci a ostatním subj. ze státního rozpočtu na pořízení nebo technické zhodnocení dlouhodobého majetku, v souladu se schválenou dokumentací programu.Podmínky pro čerpání prostředků státního rozpočtu stanoví správce programu rozhodnutím, obsahující mimo jiné též závazné věcné, časové a finanční parametry, které budou vyhodnoceny po dokončení realizace akce. Uvádí se posledně platný rozpočet (skutečné čerpání výdajů státního rozpočtu.
</t>
        </r>
      </text>
    </comment>
    <comment ref="C57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 
Uvádí se převody nečerpané návratné finanční výpomoci do následujícího roku podle zákona č.218/2000 Sb.,prostřednictvím rezervního fondu správce programu
</t>
        </r>
      </text>
    </comment>
    <comment ref="C5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MF : 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nečerpané návratné finanční výpomoci do následujícího roku podle zvláštních předpisů,prostřednictvím Národního fondu obdobně jako v ř.8144 2
</t>
        </r>
      </text>
    </comment>
    <comment ref="C59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nečerpané návratné finanční výpomoci do následujícího roku podle zvláštních předpisů,prostřednictvím Státních finančních aktiv obdobně jako v ř.8144 3</t>
        </r>
      </text>
    </comment>
    <comment ref="C6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8144 1 až 8144 4</t>
        </r>
      </text>
    </comment>
    <comment ref="C6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účelově určené výdaje rozpočtové organizace, dotace příspěvkové organizaci, a dotace ostatním subj. ze státního rozpočtu na pořízení nebo technické zhodnocení dlouhodobého majetku, v souladu se schválenou dokumentací programu.Podmínky pro čerpání prostředků státního rozpočtu stanoví správce programu rozhodnutím, obsahující mimo jiné též závazné věcné, časové a finanční parametry, které budou vyhodnoceny po dokončení realizace akce. Obdobně jako v řádku 8144 1 se uvádí posledně platný rozpočet (skutečně čerpané výdaje).</t>
        </r>
      </text>
    </comment>
    <comment ref="C62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zákona č.218/2000 Sb.,prostřednictvím rezervního fondu správce programu obdobně jako je uvedeno v ř.8144 2.</t>
        </r>
      </text>
    </comment>
    <comment ref="C63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Národního fondu obdobně jako je uvedeno v ř.8144 3.</t>
        </r>
      </text>
    </comment>
    <comment ref="C64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Státních finančních aktiv obdobně jako je uvedeno v ř.8144 3.</t>
        </r>
      </text>
    </comment>
    <comment ref="C6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8145 1 až 8145 4 </t>
        </r>
      </text>
    </comment>
    <comment ref="C6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účelově určené výdaje rozpočtových organizací, dotace příspěvkovým orgnizacím  a dotace ostatním subj. ze státního rozpočtu na pořízení nebo technické zhodnocení majetku, které jsou poskytovány na rozhodující invest. akce zabezpečující cíle schváleného programu.Registraci akce v ISPROFIN, souhlas s jejím zadáním a rozhodnutí obsahující závazné parametry a podmínky čerpání prostředků státního rozpočtu vydává správce programu a to pouze se souhlasem MF. Obdobně jako v řádcích 8144 1 a 8145 1 se uvádí posledně platný rozpočet.</t>
        </r>
      </text>
    </comment>
    <comment ref="C67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zákona č.218/2000 Sb.,prostřednictvím rezervního fondu správce programu obdobně jako je uvedeno v ř.8145 2.</t>
        </r>
      </text>
    </comment>
    <comment ref="C68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Národního fondu obdobně jako je uvedeno v ř.8145 3.</t>
        </r>
      </text>
    </comment>
    <comment ref="C69" authorId="0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Státních finančních aktiv obdobně jako je uvedeno v ř.8145 3.</t>
        </r>
      </text>
    </comment>
    <comment ref="C7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8146 1 až 8146 4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životního prostředí.</t>
        </r>
      </text>
    </comment>
    <comment ref="C72" authorId="0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dopravní infrastruktury.</t>
        </r>
      </text>
    </comment>
    <comment ref="C7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rozvoje bydlení</t>
        </r>
      </text>
    </comment>
    <comment ref="C7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jiných než výše uvedených státních fondů</t>
        </r>
      </text>
    </comment>
    <comment ref="C7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8147 1 + 8147 2 + 8147 3 + 8147 9</t>
        </r>
      </text>
    </comment>
    <comment ref="C7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obce</t>
        </r>
      </text>
    </comment>
    <comment ref="C7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okresu (okresního úřadu)</t>
        </r>
      </text>
    </comment>
    <comment ref="C7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kraje (krajského úřadu)</t>
        </r>
      </text>
    </comment>
    <comment ref="C7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Součet řádků 8148 1 + 8148 2 + 8148 3</t>
        </r>
      </text>
    </comment>
    <comment ref="C8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od jiných investorů na základě smlouvy o sdružení finančních prostředků.</t>
        </r>
      </text>
    </comment>
    <comment ref="C8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přijaté dodavatelské úvěry tj.úvěry,které budou poskytnuty v rámci smluv o energetických službách v systému EPC (Energy performance contracting) uzavíraných podle metodických pokynů "Aplikace metody EPC ve veřejném sektoru" vydaných MPO v roce 1999,nebo dodavatelských úvěrů jejichž přijetí bude předem odsouhlaseno MF. </t>
        </r>
      </text>
    </comment>
    <comment ref="C8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finanční zdroje,které nelze zařadit do řádků 8149 1 až 8149 2.</t>
        </r>
      </text>
    </comment>
    <comment ref="C8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8149 1 + 8149 2 + 8149 9</t>
        </r>
      </text>
    </comment>
    <comment ref="C8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PHARE</t>
        </r>
      </text>
    </comment>
    <comment ref="R8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PHARE</t>
        </r>
      </text>
    </comment>
    <comment ref="C8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SAPARD</t>
        </r>
      </text>
    </comment>
    <comment ref="R8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SAPARD</t>
        </r>
      </text>
    </comment>
    <comment ref="C8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ISPA</t>
        </r>
      </text>
    </comment>
    <comment ref="R86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ISPA</t>
        </r>
      </text>
    </comment>
    <comment ref="C8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kohezního fondu EU </t>
        </r>
      </text>
    </comment>
    <comment ref="R87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kohezního fondu EU </t>
        </r>
      </text>
    </comment>
    <comment ref="C8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strukturálních fondů EU </t>
        </r>
      </text>
    </comment>
    <comment ref="R88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strukturálních fondů EU </t>
        </r>
      </text>
    </comment>
    <comment ref="C8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prostředky poskytnuté jinými než výše uvedenými fondy EU </t>
        </r>
      </text>
    </comment>
    <comment ref="R89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Uvádí se prostředky poskytnuté jinými než výše uvedenými fondy EU </t>
        </r>
      </text>
    </comment>
    <comment ref="C90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8151 1 + 8151 2 + 8151 3 + 8151 4 + 8151 5 + 8151 9</t>
        </r>
      </text>
    </comment>
    <comment ref="C91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prostředky poskytnuté členskými zeměmi na financování bezpečnostních investic schválených orgány NATO.</t>
        </r>
      </text>
    </comment>
    <comment ref="C9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prostředky poskytnuté jinými než výše uvedenými fondy NATO</t>
        </r>
      </text>
    </comment>
    <comment ref="C93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8152 1 + 8152 9</t>
        </r>
      </text>
    </comment>
    <comment ref="C94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 Uvádí se zdroje ze zahraničí, které nelze zařadit do výše uvedených řádků.</t>
        </r>
      </text>
    </comment>
    <comment ref="C9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Součet řádků 8159+8152 S+8151 S</t>
        </r>
      </text>
    </comment>
  </commentList>
</comments>
</file>

<file path=xl/sharedStrings.xml><?xml version="1.0" encoding="utf-8"?>
<sst xmlns="http://schemas.openxmlformats.org/spreadsheetml/2006/main" count="412" uniqueCount="236">
  <si>
    <t>ZÁMĚR PROJEKTU</t>
  </si>
  <si>
    <t xml:space="preserve">VZOR  80 </t>
  </si>
  <si>
    <t>NÁZEV AKCE</t>
  </si>
  <si>
    <t>ČÍSLO AKCE</t>
  </si>
  <si>
    <t>INVESTOR</t>
  </si>
  <si>
    <t>IČ:</t>
  </si>
  <si>
    <t xml:space="preserve"> Rodné číslo (v případě,že účastník nemá IČ) :</t>
  </si>
  <si>
    <t>-</t>
  </si>
  <si>
    <t xml:space="preserve"> TERMÍNY PŔÍPRAVY A REALIZACE AKCE (mm.rrrr) :</t>
  </si>
  <si>
    <t xml:space="preserve"> Název etapy</t>
  </si>
  <si>
    <t xml:space="preserve"> zahájení</t>
  </si>
  <si>
    <t>dokončení</t>
  </si>
  <si>
    <t xml:space="preserve"> Vypracování a schválení projektové dokumentace </t>
  </si>
  <si>
    <t xml:space="preserve"> Zadání akce (stavební části stavby)  </t>
  </si>
  <si>
    <t xml:space="preserve"> Zadání  technologické části stavby (strojů a zařízení)*</t>
  </si>
  <si>
    <t xml:space="preserve"> Realizace akce (stavební části stavby)</t>
  </si>
  <si>
    <t xml:space="preserve"> Realizace technologické části stavby (strojů a zařízení)*</t>
  </si>
  <si>
    <t xml:space="preserve"> Závěrečné vyhodnocení akce</t>
  </si>
  <si>
    <t xml:space="preserve"> ROZHODUJÍCÍ PROJEKTOVANÉ PARAMETRY :</t>
  </si>
  <si>
    <t xml:space="preserve"> Název parametru</t>
  </si>
  <si>
    <t xml:space="preserve"> měr.jednotka</t>
  </si>
  <si>
    <t xml:space="preserve"> hodnota parametru</t>
  </si>
  <si>
    <t xml:space="preserve"> Pozn.:</t>
  </si>
  <si>
    <t>* v případě, že technologická část stavby nebude zadávána současně se stavbou.</t>
  </si>
  <si>
    <t xml:space="preserve"> </t>
  </si>
  <si>
    <t xml:space="preserve">                   BILANCE PLÁNOVANÝCH INVESTIČNÍCH POTŘEB A ZDROJŮ FINANCOVÁNÍ AKCE</t>
  </si>
  <si>
    <t>VZOR 81</t>
  </si>
  <si>
    <t xml:space="preserve">     Smíšená CÚ</t>
  </si>
  <si>
    <r>
      <t xml:space="preserve">Vyplnění formuláře 
</t>
    </r>
    <r>
      <rPr>
        <b/>
        <sz val="12"/>
        <color indexed="8"/>
        <rFont val="Calibri"/>
        <family val="2"/>
        <charset val="238"/>
        <scheme val="minor"/>
      </rPr>
      <t>VZOR 82</t>
    </r>
  </si>
  <si>
    <t>Skut.</t>
  </si>
  <si>
    <t>Aktuál.</t>
  </si>
  <si>
    <t>Skutečnost</t>
  </si>
  <si>
    <t xml:space="preserve"> Plánované plnění:</t>
  </si>
  <si>
    <t>Zbývá</t>
  </si>
  <si>
    <t>Hodnota</t>
  </si>
  <si>
    <t xml:space="preserve"> v mil.Kč na 3 des.místa</t>
  </si>
  <si>
    <t>do 31.12.</t>
  </si>
  <si>
    <t>rok</t>
  </si>
  <si>
    <t>akt.roku</t>
  </si>
  <si>
    <t xml:space="preserve">  v roce</t>
  </si>
  <si>
    <t>v roce</t>
  </si>
  <si>
    <t xml:space="preserve">  po 1.1.</t>
  </si>
  <si>
    <t>ukazatele</t>
  </si>
  <si>
    <t xml:space="preserve">  Č.ř.</t>
  </si>
  <si>
    <t xml:space="preserve">  N á z e v   u k a z a t e l e</t>
  </si>
  <si>
    <t>CELKEM</t>
  </si>
  <si>
    <t xml:space="preserve">  Náklady inženýrské činnosti ve výstavbě</t>
  </si>
  <si>
    <t xml:space="preserve">  Náklady projektové  dokumentace</t>
  </si>
  <si>
    <t xml:space="preserve">  Náklady na výkupy pozemků určených k zástavbě</t>
  </si>
  <si>
    <t xml:space="preserve">  Náklady na výkupy nemovitostí podmiňující výstavbu</t>
  </si>
  <si>
    <t xml:space="preserve">  Jiné náklady přípravy a zabezpečení výstavby</t>
  </si>
  <si>
    <t>S</t>
  </si>
  <si>
    <t xml:space="preserve"> Náklady přípravy a zabezpečení výstavby</t>
  </si>
  <si>
    <t xml:space="preserve"> Náklady stavební části stavby</t>
  </si>
  <si>
    <t xml:space="preserve"> Náklady technologické části stavby</t>
  </si>
  <si>
    <t xml:space="preserve">  Náklady na dopravní prostředky</t>
  </si>
  <si>
    <t xml:space="preserve">  Náklady na výpočetní techniku</t>
  </si>
  <si>
    <t xml:space="preserve">  Náklady na vojenskou techniku a zařízení</t>
  </si>
  <si>
    <t xml:space="preserve">  Náklady na zdravotnickou techniku a zařízení</t>
  </si>
  <si>
    <t xml:space="preserve">  Náklady na jiné než výše uvedené stroje a zařízení</t>
  </si>
  <si>
    <t xml:space="preserve"> Náklady na stroje a zařízení </t>
  </si>
  <si>
    <t xml:space="preserve">  Náklady na programové vybavení</t>
  </si>
  <si>
    <t xml:space="preserve">  Náklady na ocenitelná práva</t>
  </si>
  <si>
    <t xml:space="preserve">  Nákl.na nehmotné výsledky výzkumné a obd.činnosti</t>
  </si>
  <si>
    <t xml:space="preserve">  Nákl.na nehmot.dlouhodobý majetek výše neuvedený</t>
  </si>
  <si>
    <t xml:space="preserve"> Náklady na nehmotný investiční majetek </t>
  </si>
  <si>
    <t xml:space="preserve">  Náklady na pěstitelské celky trvalých porostů</t>
  </si>
  <si>
    <t xml:space="preserve">  Odvody a poplatky za odnětí zemědělské a lesní půdy</t>
  </si>
  <si>
    <t xml:space="preserve">  Náklady úplatného převodu pozemků</t>
  </si>
  <si>
    <t xml:space="preserve">  Náklady úplatného převodu nemovitostí</t>
  </si>
  <si>
    <t xml:space="preserve">  Úroky z úvěrů bez státní záruky</t>
  </si>
  <si>
    <t xml:space="preserve">  Úroky z úvěrů se státní zárukou</t>
  </si>
  <si>
    <t xml:space="preserve">  Úroky z dodavatelských úvěrů</t>
  </si>
  <si>
    <t xml:space="preserve">  Náklady na zajištění dodávek energií zahrnované do HIM</t>
  </si>
  <si>
    <t xml:space="preserve">  Ostatní investiční náklady výše neuvedené</t>
  </si>
  <si>
    <t xml:space="preserve"> Investiční náklady ostatní celkem </t>
  </si>
  <si>
    <t xml:space="preserve"> REZERVA na úhradu investičních nákladů</t>
  </si>
  <si>
    <t xml:space="preserve"> INVESTIČNÍ NÁKLADY CELKEM</t>
  </si>
  <si>
    <t xml:space="preserve"> Splátky návratných fin.výpomocí ze stát.rozpočtu</t>
  </si>
  <si>
    <t xml:space="preserve"> Splátky úvěrů poskytnutých se státní zárukou</t>
  </si>
  <si>
    <t xml:space="preserve"> Splátky úvěrů poskytnutých bez státní záruky</t>
  </si>
  <si>
    <t xml:space="preserve">  Příspěvky poskytnuté na sdruženou akci</t>
  </si>
  <si>
    <t xml:space="preserve">  Splátky dodavatelských úvěrů</t>
  </si>
  <si>
    <t xml:space="preserve">  Jiné investiční potřeby výše neuvedené</t>
  </si>
  <si>
    <t xml:space="preserve"> Ostatní investiční potřeby </t>
  </si>
  <si>
    <t xml:space="preserve"> SOUHRN INVESTIČNÍCH POTŘEB </t>
  </si>
  <si>
    <t xml:space="preserve"> Vlastní zdroje účastníka programu</t>
  </si>
  <si>
    <t xml:space="preserve"> Úvěry poskytnuté bez státní záruky </t>
  </si>
  <si>
    <t xml:space="preserve"> Úvěry se státní zárukou přijaté KoB nebo ČMZRB</t>
  </si>
  <si>
    <t xml:space="preserve"> Úvěry poskytnuté se státní zárukou ostatní </t>
  </si>
  <si>
    <t xml:space="preserve"> Úvěry poskytnuté se státní zárukou </t>
  </si>
  <si>
    <t xml:space="preserve"> Návratné fin.výpomoci (NFV) - posledně platný rozpočet</t>
  </si>
  <si>
    <t xml:space="preserve"> NFV - převody do násl.roku ( -,+) prostř.rezervního fondu</t>
  </si>
  <si>
    <t xml:space="preserve"> NFV - převody do násl.roku ( -,+) prostř.Národního fondu</t>
  </si>
  <si>
    <t xml:space="preserve"> NFV - převody do násl.roku ( -,+) prostř.Státních fin.aktiv</t>
  </si>
  <si>
    <t xml:space="preserve"> Návratné finanční výpomoci ze státního rozpočtu</t>
  </si>
  <si>
    <t xml:space="preserve"> Systémově určené výdaje (SUV) - posledně platný rozpočet</t>
  </si>
  <si>
    <t xml:space="preserve"> SUV - převody do násl.roku ( -,+) prostř.rezervního fondu</t>
  </si>
  <si>
    <t xml:space="preserve"> SUV - převody do násl.roku ( -,+) prostř.Národního fondu</t>
  </si>
  <si>
    <t xml:space="preserve"> SUV - převody do násl.roku ( -,+) prostř.Státních fin.aktiv</t>
  </si>
  <si>
    <t xml:space="preserve"> Systémově určené výdaje státního rozpočtu</t>
  </si>
  <si>
    <t xml:space="preserve"> Individuálně posuzované výdaje (IPV) -posledně platný rozp.</t>
  </si>
  <si>
    <t xml:space="preserve"> IPV - převody do násl.roku ( -,+) prostř.rezervního fondu</t>
  </si>
  <si>
    <t xml:space="preserve"> IPV - převody do násl.roku ( -,+) prostř.Národního fondu</t>
  </si>
  <si>
    <t xml:space="preserve"> IPV - převody do násl.roku ( -,+) prostř.Státních fin.aktiv</t>
  </si>
  <si>
    <t xml:space="preserve"> Individuálně posuzované výdaje státního rozpočtu</t>
  </si>
  <si>
    <t xml:space="preserve"> Dotace ze Státního fondu životního prostředí</t>
  </si>
  <si>
    <t xml:space="preserve"> Dotace ze Státního  fondu dopravní infrastruktury</t>
  </si>
  <si>
    <t xml:space="preserve"> Dotace ze Státního  fondu rozvoje bydlení</t>
  </si>
  <si>
    <t xml:space="preserve"> Dotace z jiných státních fondů</t>
  </si>
  <si>
    <t xml:space="preserve"> Dotace poskytnuté ze státních fondů</t>
  </si>
  <si>
    <t xml:space="preserve"> Dotace z rozpočtu obce</t>
  </si>
  <si>
    <t xml:space="preserve"> Dotace z rozpočtu okresu</t>
  </si>
  <si>
    <t xml:space="preserve"> Dotace z rozpočtu kraje</t>
  </si>
  <si>
    <t>Vložit hodnotu</t>
  </si>
  <si>
    <t>Výběr dotace</t>
  </si>
  <si>
    <t xml:space="preserve"> Dotace z územních rozpočtů</t>
  </si>
  <si>
    <t xml:space="preserve"> Příspěvky přijaté na sdruženou akci</t>
  </si>
  <si>
    <t xml:space="preserve"> Dodavatelské úvěry</t>
  </si>
  <si>
    <t xml:space="preserve"> Jiné cizí zdroje tuzemské výše neuvedené</t>
  </si>
  <si>
    <r>
      <t xml:space="preserve">Míra nedostatku financování
</t>
    </r>
    <r>
      <rPr>
        <i/>
        <sz val="8"/>
        <color indexed="8"/>
        <rFont val="Calibri"/>
        <family val="2"/>
        <charset val="238"/>
        <scheme val="minor"/>
      </rPr>
      <t>(dle finanční analýzy CBA)</t>
    </r>
  </si>
  <si>
    <t>Volba dotace</t>
  </si>
  <si>
    <t xml:space="preserve"> Jiné zdroje tuzemské </t>
  </si>
  <si>
    <t xml:space="preserve"> Dotace z fondu PHARE</t>
  </si>
  <si>
    <t xml:space="preserve"> Dotace z fondu SAPARD</t>
  </si>
  <si>
    <t xml:space="preserve"> Dotace z fondu ISPA</t>
  </si>
  <si>
    <t xml:space="preserve"> Dotace z kohezniho fondu EU</t>
  </si>
  <si>
    <t xml:space="preserve"> Dotace ze strukturálních fondů EU</t>
  </si>
  <si>
    <t xml:space="preserve"> Dotace z jiných fondů EU </t>
  </si>
  <si>
    <t xml:space="preserve"> Dotace poskytnuté z fondů EU </t>
  </si>
  <si>
    <t xml:space="preserve"> Dotace z fondu NATO na bezpečnostní investice</t>
  </si>
  <si>
    <t xml:space="preserve"> Dotace z jiných fondů NATO</t>
  </si>
  <si>
    <t xml:space="preserve"> Dotace z fondů NATO</t>
  </si>
  <si>
    <t xml:space="preserve"> Jiné zahraniční zdroje výše neuvedené</t>
  </si>
  <si>
    <t xml:space="preserve"> SOUHRN INVESTIČNÍCH ZDROJŮ </t>
  </si>
  <si>
    <t>SPECIFIKACE STAVEBNÍCH OBJEKTŮ A PROVOZNÍCH SOUBORŮ  AKCE</t>
  </si>
  <si>
    <t>VZOR  83</t>
  </si>
  <si>
    <t>Příklad specifikace členění nákladů dle profesí zatříděných ve kategoriích monitoringu (3SO/3PS):</t>
  </si>
  <si>
    <t>Monitorovací kategorie</t>
  </si>
  <si>
    <t>Členění dle profesní odbornosti</t>
  </si>
  <si>
    <t>Náklady
v mil Kč</t>
  </si>
  <si>
    <t>číslo řádku</t>
  </si>
  <si>
    <t>STAVEBNÍ OBJEKTY A PROVOZNÍ SOUBORY *</t>
  </si>
  <si>
    <t>náklady realizace celkem 
mil. Kč</t>
  </si>
  <si>
    <t>E.1.1.1</t>
  </si>
  <si>
    <t>Železniční svršek</t>
  </si>
  <si>
    <t>E.1.1.2</t>
  </si>
  <si>
    <t>Železniční spodek</t>
  </si>
  <si>
    <t>E.1.2</t>
  </si>
  <si>
    <t>Nástupiště</t>
  </si>
  <si>
    <t>E.1.3</t>
  </si>
  <si>
    <t>Železniční přejezdy</t>
  </si>
  <si>
    <t>E.1.4</t>
  </si>
  <si>
    <t>Mosty, propustky, zdi</t>
  </si>
  <si>
    <t>E.1.5</t>
  </si>
  <si>
    <t>Ostatní inženýrské objekty</t>
  </si>
  <si>
    <t>E.1.6</t>
  </si>
  <si>
    <t>Potrubní vedení</t>
  </si>
  <si>
    <t>E.1.7</t>
  </si>
  <si>
    <t>Železniční tunely</t>
  </si>
  <si>
    <t>E.1.8</t>
  </si>
  <si>
    <t>Pozemní komunikace</t>
  </si>
  <si>
    <t>E.1.9</t>
  </si>
  <si>
    <t>Kabelovody, kolektory</t>
  </si>
  <si>
    <t>E.1.10</t>
  </si>
  <si>
    <t>Protihlukové objekty</t>
  </si>
  <si>
    <t>E.2</t>
  </si>
  <si>
    <t>Pozemní stavební objekty</t>
  </si>
  <si>
    <t>E.3.1</t>
  </si>
  <si>
    <t>Trakční vedení</t>
  </si>
  <si>
    <t>E.3.2</t>
  </si>
  <si>
    <t>Napájecí stanice (měnírna, trakční transformovna) – stavební část</t>
  </si>
  <si>
    <t>E.3.3</t>
  </si>
  <si>
    <t>Spínací stanice – stavební část</t>
  </si>
  <si>
    <t>E.3.4</t>
  </si>
  <si>
    <t>Ohřev výměn (elektrický - EOV, plynový - POV)</t>
  </si>
  <si>
    <t>E.3.5</t>
  </si>
  <si>
    <t>Elektrické předtápěcí zařízení (EPZ)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</si>
  <si>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</si>
  <si>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</si>
  <si>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</si>
  <si>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</si>
  <si>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</si>
  <si>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</si>
  <si>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>E.3.9</t>
  </si>
  <si>
    <t>Ostatní kabelizace</t>
  </si>
  <si>
    <t>D.1</t>
  </si>
  <si>
    <t>Železniční zabezpečovací zařízení</t>
  </si>
  <si>
    <t>D.2</t>
  </si>
  <si>
    <t>Železniční sdělovací zařízení</t>
  </si>
  <si>
    <t>D.3</t>
  </si>
  <si>
    <t>Silnoproudá technologie včetně DŘT</t>
  </si>
  <si>
    <t>D.4</t>
  </si>
  <si>
    <t>Ostatní technologická zařízení</t>
  </si>
  <si>
    <t>Celkem v mil. Kč</t>
  </si>
  <si>
    <t>Silnoproudé rozvody a zařízení</t>
  </si>
  <si>
    <t>Komunikace a zpevněné plochy</t>
  </si>
  <si>
    <t>Inženýrské sítě (trubní vedení, kabelovody)</t>
  </si>
  <si>
    <t>Pozemní stavby, nástupiště a přístřešky</t>
  </si>
  <si>
    <t>Modernizace haly pro měřící vozy pevných trakčních zařízení - Bohumín</t>
  </si>
  <si>
    <t>Správa železnic, státní organizace</t>
  </si>
  <si>
    <t>Modernizace železničního uzlu Ostrava</t>
  </si>
  <si>
    <t>Zabezpečovací zařízení</t>
  </si>
  <si>
    <t>Sdělovací zařízení</t>
  </si>
  <si>
    <t>Tunely</t>
  </si>
  <si>
    <t>Trakce</t>
  </si>
  <si>
    <t>Objekty ochrany životního prostředí</t>
  </si>
  <si>
    <t xml:space="preserve">Navrhovaná rychlost </t>
  </si>
  <si>
    <t>km/h</t>
  </si>
  <si>
    <t>Prostorová průchodnost</t>
  </si>
  <si>
    <t>UIC - GC</t>
  </si>
  <si>
    <t xml:space="preserve">Navrhované zatížení </t>
  </si>
  <si>
    <t>D4</t>
  </si>
  <si>
    <t>m (m)</t>
  </si>
  <si>
    <t>ks</t>
  </si>
  <si>
    <t>m</t>
  </si>
  <si>
    <t>Trakční vedení - nové</t>
  </si>
  <si>
    <t>Celková délka stavby (trati Bohumín - Přerov)</t>
  </si>
  <si>
    <t>Délka hlavních stavebních prací  (trati Bohumín - Přerov)</t>
  </si>
  <si>
    <t>Železniční  svršek UIC 60 nebo S49</t>
  </si>
  <si>
    <t>Výhybkové konstrukce UIC 60 nebo S49</t>
  </si>
  <si>
    <t>Žel. přejezd - rekonstrukce/nový/zrušení</t>
  </si>
  <si>
    <t>1/0/1</t>
  </si>
  <si>
    <t>Železniční stanice - modernizace</t>
  </si>
  <si>
    <t xml:space="preserve"> 1/1</t>
  </si>
  <si>
    <t>Seřazovací nádraží - modernizace/změna funkce</t>
  </si>
  <si>
    <t>staniční zab. zař. - počet výhybkových jednotek</t>
  </si>
  <si>
    <t>Železniční most - modernizace nebo novostavba</t>
  </si>
  <si>
    <t>Železniční zastávka - modernizace/zrušení</t>
  </si>
  <si>
    <t>ks (m)</t>
  </si>
  <si>
    <t>7 (2210)</t>
  </si>
  <si>
    <t>2 (112)</t>
  </si>
  <si>
    <t>13 784 (9 477)</t>
  </si>
  <si>
    <t>11 948 (8 064)</t>
  </si>
  <si>
    <t>Nástupiště 550 mm nad TK - nové</t>
  </si>
  <si>
    <t>Nástupiště 550 mm nad TK - prodloužení stávajícího</t>
  </si>
</sst>
</file>

<file path=xl/styles.xml><?xml version="1.0" encoding="utf-8"?>
<styleSheet xmlns="http://schemas.openxmlformats.org/spreadsheetml/2006/main">
  <numFmts count="7">
    <numFmt numFmtId="164" formatCode="General_)"/>
    <numFmt numFmtId="165" formatCode="mm/yyyy"/>
    <numFmt numFmtId="166" formatCode="###\ ###\ ####"/>
    <numFmt numFmtId="167" formatCode="##\ ###\ ###"/>
    <numFmt numFmtId="168" formatCode="#,##0.000"/>
    <numFmt numFmtId="169" formatCode="0.0"/>
    <numFmt numFmtId="170" formatCode="0.000"/>
  </numFmts>
  <fonts count="51">
    <font>
      <sz val="11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sz val="12"/>
      <name val="Courier"/>
      <family val="1"/>
      <charset val="238"/>
    </font>
    <font>
      <b/>
      <sz val="14"/>
      <name val="Arial CE"/>
      <family val="2"/>
      <charset val="238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Courier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indexed="8"/>
      <name val="Courier"/>
      <family val="1"/>
      <charset val="238"/>
    </font>
    <font>
      <b/>
      <sz val="16"/>
      <color indexed="8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4"/>
      <name val="Arial"/>
      <family val="2"/>
      <charset val="238"/>
    </font>
    <font>
      <i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11"/>
      <color indexed="81"/>
      <name val="Calibri"/>
      <family val="2"/>
      <charset val="238"/>
      <scheme val="minor"/>
    </font>
    <font>
      <b/>
      <sz val="11"/>
      <color indexed="8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2" fillId="0" borderId="0"/>
    <xf numFmtId="164" fontId="2" fillId="0" borderId="0"/>
    <xf numFmtId="0" fontId="48" fillId="0" borderId="0"/>
    <xf numFmtId="0" fontId="48" fillId="0" borderId="0"/>
  </cellStyleXfs>
  <cellXfs count="541">
    <xf numFmtId="0" fontId="0" fillId="0" borderId="0" xfId="0"/>
    <xf numFmtId="0" fontId="1" fillId="0" borderId="0" xfId="0" applyFont="1" applyAlignment="1" applyProtection="1">
      <alignment horizontal="centerContinuous"/>
    </xf>
    <xf numFmtId="164" fontId="2" fillId="0" borderId="0" xfId="1" applyAlignment="1" applyProtection="1">
      <alignment horizontal="centerContinuous"/>
    </xf>
    <xf numFmtId="0" fontId="0" fillId="0" borderId="0" xfId="0" applyProtection="1"/>
    <xf numFmtId="0" fontId="4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164" fontId="6" fillId="0" borderId="0" xfId="1" applyFont="1" applyBorder="1" applyAlignment="1" applyProtection="1">
      <alignment vertical="center"/>
    </xf>
    <xf numFmtId="164" fontId="6" fillId="0" borderId="10" xfId="1" applyFont="1" applyBorder="1" applyAlignment="1" applyProtection="1">
      <alignment vertical="center"/>
    </xf>
    <xf numFmtId="164" fontId="10" fillId="2" borderId="0" xfId="1" applyFont="1" applyFill="1" applyBorder="1" applyAlignment="1" applyProtection="1">
      <alignment vertical="center"/>
    </xf>
    <xf numFmtId="164" fontId="7" fillId="2" borderId="21" xfId="1" applyFont="1" applyFill="1" applyBorder="1" applyAlignment="1" applyProtection="1">
      <alignment vertical="center" wrapText="1"/>
    </xf>
    <xf numFmtId="0" fontId="11" fillId="0" borderId="22" xfId="0" applyFont="1" applyBorder="1" applyAlignment="1" applyProtection="1">
      <alignment vertical="center" wrapText="1"/>
    </xf>
    <xf numFmtId="0" fontId="8" fillId="0" borderId="12" xfId="0" applyFont="1" applyBorder="1" applyAlignment="1" applyProtection="1">
      <alignment vertical="center"/>
    </xf>
    <xf numFmtId="164" fontId="7" fillId="2" borderId="30" xfId="1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vertical="center" wrapText="1"/>
    </xf>
    <xf numFmtId="164" fontId="7" fillId="0" borderId="30" xfId="1" applyFont="1" applyFill="1" applyBorder="1" applyAlignment="1" applyProtection="1">
      <alignment vertical="center"/>
    </xf>
    <xf numFmtId="164" fontId="8" fillId="0" borderId="31" xfId="1" applyFont="1" applyBorder="1" applyAlignment="1" applyProtection="1">
      <alignment vertical="center"/>
    </xf>
    <xf numFmtId="164" fontId="6" fillId="0" borderId="32" xfId="1" applyFont="1" applyBorder="1" applyAlignment="1" applyProtection="1">
      <alignment vertical="center"/>
    </xf>
    <xf numFmtId="164" fontId="7" fillId="0" borderId="11" xfId="1" applyFont="1" applyFill="1" applyBorder="1" applyAlignment="1" applyProtection="1">
      <alignment vertical="center"/>
    </xf>
    <xf numFmtId="164" fontId="13" fillId="0" borderId="14" xfId="1" applyFont="1" applyBorder="1" applyAlignment="1" applyProtection="1">
      <alignment vertical="center"/>
    </xf>
    <xf numFmtId="164" fontId="8" fillId="0" borderId="14" xfId="1" applyFont="1" applyBorder="1" applyAlignment="1" applyProtection="1">
      <alignment vertical="center"/>
    </xf>
    <xf numFmtId="164" fontId="14" fillId="0" borderId="14" xfId="1" applyFont="1" applyFill="1" applyBorder="1" applyAlignment="1" applyProtection="1">
      <alignment horizontal="center" vertical="center"/>
    </xf>
    <xf numFmtId="164" fontId="14" fillId="0" borderId="33" xfId="1" applyFont="1" applyFill="1" applyBorder="1" applyAlignment="1" applyProtection="1">
      <alignment horizontal="center" vertical="center"/>
    </xf>
    <xf numFmtId="164" fontId="14" fillId="0" borderId="12" xfId="1" applyFont="1" applyFill="1" applyBorder="1" applyAlignment="1" applyProtection="1">
      <alignment horizontal="center" vertical="center"/>
    </xf>
    <xf numFmtId="164" fontId="12" fillId="0" borderId="14" xfId="1" applyFont="1" applyFill="1" applyBorder="1" applyAlignment="1" applyProtection="1">
      <alignment vertical="center"/>
    </xf>
    <xf numFmtId="164" fontId="12" fillId="0" borderId="15" xfId="1" applyFont="1" applyFill="1" applyBorder="1" applyAlignment="1" applyProtection="1">
      <alignment vertical="center"/>
    </xf>
    <xf numFmtId="164" fontId="10" fillId="0" borderId="34" xfId="1" applyFont="1" applyFill="1" applyBorder="1" applyAlignment="1" applyProtection="1">
      <alignment vertical="center"/>
      <protection locked="0"/>
    </xf>
    <xf numFmtId="164" fontId="14" fillId="0" borderId="35" xfId="1" applyFont="1" applyFill="1" applyBorder="1" applyAlignment="1" applyProtection="1">
      <alignment vertical="center"/>
      <protection locked="0"/>
    </xf>
    <xf numFmtId="164" fontId="14" fillId="0" borderId="36" xfId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164" fontId="10" fillId="0" borderId="34" xfId="1" applyFont="1" applyFill="1" applyBorder="1" applyAlignment="1" applyProtection="1">
      <alignment vertical="center"/>
    </xf>
    <xf numFmtId="164" fontId="14" fillId="0" borderId="35" xfId="1" applyFont="1" applyFill="1" applyBorder="1" applyAlignment="1" applyProtection="1">
      <alignment vertical="center"/>
    </xf>
    <xf numFmtId="164" fontId="14" fillId="0" borderId="36" xfId="1" applyFont="1" applyFill="1" applyBorder="1" applyAlignment="1" applyProtection="1">
      <alignment vertical="center"/>
    </xf>
    <xf numFmtId="164" fontId="10" fillId="2" borderId="34" xfId="1" applyFont="1" applyFill="1" applyBorder="1" applyAlignment="1" applyProtection="1">
      <alignment vertical="center"/>
    </xf>
    <xf numFmtId="164" fontId="14" fillId="2" borderId="35" xfId="1" applyFont="1" applyFill="1" applyBorder="1" applyAlignment="1" applyProtection="1">
      <alignment vertical="center"/>
    </xf>
    <xf numFmtId="164" fontId="14" fillId="2" borderId="36" xfId="1" applyFont="1" applyFill="1" applyBorder="1" applyAlignment="1" applyProtection="1">
      <alignment vertical="center"/>
    </xf>
    <xf numFmtId="164" fontId="10" fillId="0" borderId="21" xfId="1" applyFont="1" applyFill="1" applyBorder="1" applyAlignment="1" applyProtection="1">
      <alignment vertical="center"/>
      <protection locked="0"/>
    </xf>
    <xf numFmtId="164" fontId="14" fillId="0" borderId="48" xfId="1" applyFont="1" applyFill="1" applyBorder="1" applyAlignment="1" applyProtection="1">
      <alignment vertical="center"/>
      <protection locked="0"/>
    </xf>
    <xf numFmtId="164" fontId="14" fillId="0" borderId="31" xfId="1" applyFont="1" applyFill="1" applyBorder="1" applyAlignment="1" applyProtection="1">
      <alignment vertical="center"/>
      <protection locked="0"/>
    </xf>
    <xf numFmtId="164" fontId="10" fillId="0" borderId="30" xfId="1" applyFont="1" applyFill="1" applyBorder="1" applyAlignment="1" applyProtection="1">
      <alignment vertical="center"/>
    </xf>
    <xf numFmtId="164" fontId="10" fillId="0" borderId="0" xfId="1" applyFont="1" applyFill="1" applyBorder="1" applyAlignment="1" applyProtection="1">
      <alignment vertical="center"/>
    </xf>
    <xf numFmtId="164" fontId="10" fillId="0" borderId="10" xfId="1" applyFont="1" applyFill="1" applyBorder="1" applyAlignment="1" applyProtection="1">
      <alignment vertical="center"/>
    </xf>
    <xf numFmtId="164" fontId="7" fillId="0" borderId="54" xfId="1" applyFont="1" applyFill="1" applyBorder="1" applyAlignment="1" applyProtection="1">
      <alignment vertical="center"/>
    </xf>
    <xf numFmtId="164" fontId="12" fillId="0" borderId="58" xfId="1" applyFont="1" applyFill="1" applyBorder="1" applyAlignment="1" applyProtection="1">
      <alignment vertical="center"/>
    </xf>
    <xf numFmtId="164" fontId="12" fillId="0" borderId="59" xfId="1" applyFont="1" applyFill="1" applyBorder="1" applyAlignment="1" applyProtection="1">
      <alignment vertical="center"/>
    </xf>
    <xf numFmtId="164" fontId="15" fillId="0" borderId="59" xfId="1" applyFont="1" applyBorder="1" applyAlignment="1" applyProtection="1">
      <alignment vertical="center"/>
    </xf>
    <xf numFmtId="164" fontId="12" fillId="0" borderId="60" xfId="1" applyFont="1" applyFill="1" applyBorder="1" applyAlignment="1" applyProtection="1">
      <alignment vertical="center"/>
    </xf>
    <xf numFmtId="164" fontId="10" fillId="0" borderId="61" xfId="1" applyFont="1" applyFill="1" applyBorder="1" applyAlignment="1" applyProtection="1">
      <alignment vertical="center"/>
      <protection locked="0"/>
    </xf>
    <xf numFmtId="164" fontId="10" fillId="0" borderId="66" xfId="1" applyFont="1" applyFill="1" applyBorder="1" applyAlignment="1" applyProtection="1">
      <alignment vertical="center"/>
      <protection locked="0"/>
    </xf>
    <xf numFmtId="164" fontId="10" fillId="0" borderId="68" xfId="1" applyFont="1" applyFill="1" applyBorder="1" applyAlignment="1" applyProtection="1">
      <alignment vertical="center"/>
      <protection locked="0"/>
    </xf>
    <xf numFmtId="164" fontId="7" fillId="0" borderId="30" xfId="1" applyFont="1" applyFill="1" applyBorder="1" applyAlignment="1" applyProtection="1">
      <alignment vertical="center"/>
      <protection locked="0"/>
    </xf>
    <xf numFmtId="164" fontId="7" fillId="0" borderId="0" xfId="1" applyFont="1" applyFill="1" applyBorder="1" applyAlignment="1" applyProtection="1">
      <alignment vertical="center"/>
      <protection locked="0"/>
    </xf>
    <xf numFmtId="164" fontId="7" fillId="0" borderId="10" xfId="1" applyFont="1" applyFill="1" applyBorder="1" applyAlignment="1" applyProtection="1">
      <alignment vertical="center"/>
      <protection locked="0"/>
    </xf>
    <xf numFmtId="164" fontId="12" fillId="0" borderId="66" xfId="1" applyFont="1" applyFill="1" applyBorder="1" applyAlignment="1" applyProtection="1">
      <alignment vertical="center"/>
      <protection locked="0"/>
    </xf>
    <xf numFmtId="164" fontId="12" fillId="0" borderId="59" xfId="1" applyFont="1" applyFill="1" applyBorder="1" applyAlignment="1" applyProtection="1">
      <alignment vertical="center"/>
      <protection locked="0"/>
    </xf>
    <xf numFmtId="164" fontId="7" fillId="0" borderId="59" xfId="1" applyFont="1" applyFill="1" applyBorder="1" applyAlignment="1" applyProtection="1">
      <alignment vertical="center"/>
      <protection locked="0"/>
    </xf>
    <xf numFmtId="164" fontId="8" fillId="0" borderId="59" xfId="1" applyFont="1" applyBorder="1" applyAlignment="1" applyProtection="1">
      <alignment vertical="center"/>
      <protection locked="0"/>
    </xf>
    <xf numFmtId="164" fontId="8" fillId="0" borderId="60" xfId="1" applyFont="1" applyBorder="1" applyAlignment="1" applyProtection="1">
      <alignment vertical="center"/>
      <protection locked="0"/>
    </xf>
    <xf numFmtId="164" fontId="12" fillId="0" borderId="30" xfId="1" applyFont="1" applyFill="1" applyBorder="1" applyAlignment="1" applyProtection="1">
      <alignment vertical="center"/>
      <protection locked="0"/>
    </xf>
    <xf numFmtId="164" fontId="12" fillId="0" borderId="0" xfId="1" applyFont="1" applyFill="1" applyBorder="1" applyAlignment="1" applyProtection="1">
      <alignment vertical="center"/>
      <protection locked="0"/>
    </xf>
    <xf numFmtId="164" fontId="8" fillId="0" borderId="0" xfId="1" applyFont="1" applyBorder="1" applyAlignment="1" applyProtection="1">
      <alignment vertical="center"/>
      <protection locked="0"/>
    </xf>
    <xf numFmtId="164" fontId="8" fillId="0" borderId="10" xfId="1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164" fontId="16" fillId="0" borderId="0" xfId="1" applyFont="1" applyFill="1" applyBorder="1" applyProtection="1">
      <protection locked="0"/>
    </xf>
    <xf numFmtId="164" fontId="17" fillId="0" borderId="0" xfId="1" applyFont="1" applyFill="1" applyBorder="1" applyProtection="1">
      <protection locked="0"/>
    </xf>
    <xf numFmtId="164" fontId="18" fillId="0" borderId="0" xfId="1" applyFont="1" applyProtection="1">
      <protection locked="0"/>
    </xf>
    <xf numFmtId="164" fontId="21" fillId="4" borderId="0" xfId="2" applyFont="1" applyFill="1" applyProtection="1"/>
    <xf numFmtId="1" fontId="26" fillId="0" borderId="48" xfId="0" applyNumberFormat="1" applyFont="1" applyFill="1" applyBorder="1" applyAlignment="1" applyProtection="1">
      <alignment vertical="center"/>
    </xf>
    <xf numFmtId="0" fontId="8" fillId="0" borderId="10" xfId="0" applyFont="1" applyBorder="1" applyAlignment="1" applyProtection="1">
      <alignment vertical="center"/>
    </xf>
    <xf numFmtId="164" fontId="7" fillId="2" borderId="1" xfId="2" applyFont="1" applyFill="1" applyBorder="1" applyAlignment="1" applyProtection="1">
      <alignment horizontal="left" vertical="center"/>
    </xf>
    <xf numFmtId="164" fontId="6" fillId="0" borderId="4" xfId="2" applyFont="1" applyBorder="1" applyAlignment="1" applyProtection="1">
      <alignment vertical="center"/>
    </xf>
    <xf numFmtId="0" fontId="7" fillId="2" borderId="78" xfId="0" applyFont="1" applyFill="1" applyBorder="1" applyAlignment="1" applyProtection="1">
      <alignment horizontal="center" vertical="center"/>
    </xf>
    <xf numFmtId="0" fontId="7" fillId="2" borderId="79" xfId="0" applyFont="1" applyFill="1" applyBorder="1" applyAlignment="1" applyProtection="1">
      <alignment horizontal="center" vertical="center"/>
    </xf>
    <xf numFmtId="0" fontId="7" fillId="2" borderId="80" xfId="0" applyFont="1" applyFill="1" applyBorder="1" applyAlignment="1" applyProtection="1">
      <alignment horizontal="center" vertical="center"/>
    </xf>
    <xf numFmtId="0" fontId="7" fillId="0" borderId="81" xfId="0" applyFont="1" applyFill="1" applyBorder="1" applyAlignment="1" applyProtection="1">
      <alignment horizontal="center" vertical="center" shrinkToFit="1"/>
    </xf>
    <xf numFmtId="0" fontId="7" fillId="2" borderId="81" xfId="0" applyFont="1" applyFill="1" applyBorder="1" applyAlignment="1" applyProtection="1">
      <alignment horizontal="centerContinuous" vertical="center"/>
    </xf>
    <xf numFmtId="0" fontId="12" fillId="2" borderId="79" xfId="0" applyFont="1" applyFill="1" applyBorder="1" applyAlignment="1" applyProtection="1">
      <alignment horizontal="centerContinuous" vertical="center"/>
    </xf>
    <xf numFmtId="0" fontId="12" fillId="2" borderId="78" xfId="0" applyFont="1" applyFill="1" applyBorder="1" applyAlignment="1" applyProtection="1">
      <alignment horizontal="centerContinuous" vertical="center"/>
    </xf>
    <xf numFmtId="0" fontId="7" fillId="2" borderId="78" xfId="0" applyFont="1" applyFill="1" applyBorder="1" applyAlignment="1" applyProtection="1">
      <alignment horizontal="centerContinuous" vertical="center"/>
    </xf>
    <xf numFmtId="0" fontId="7" fillId="2" borderId="82" xfId="0" applyFont="1" applyFill="1" applyBorder="1" applyAlignment="1" applyProtection="1">
      <alignment horizontal="center" vertical="center"/>
    </xf>
    <xf numFmtId="164" fontId="7" fillId="2" borderId="25" xfId="2" applyFont="1" applyFill="1" applyBorder="1" applyAlignment="1" applyProtection="1">
      <alignment horizontal="left" vertical="center"/>
    </xf>
    <xf numFmtId="164" fontId="6" fillId="0" borderId="26" xfId="2" applyFont="1" applyBorder="1" applyAlignment="1" applyProtection="1">
      <alignment horizontal="centerContinuous" vertical="center"/>
    </xf>
    <xf numFmtId="166" fontId="11" fillId="2" borderId="83" xfId="2" applyNumberFormat="1" applyFont="1" applyFill="1" applyBorder="1" applyAlignment="1" applyProtection="1">
      <alignment horizontal="center" vertical="center"/>
    </xf>
    <xf numFmtId="167" fontId="13" fillId="2" borderId="27" xfId="2" applyNumberFormat="1" applyFont="1" applyFill="1" applyBorder="1" applyAlignment="1" applyProtection="1">
      <alignment horizontal="center" vertical="center"/>
    </xf>
    <xf numFmtId="0" fontId="7" fillId="2" borderId="84" xfId="0" applyFont="1" applyFill="1" applyBorder="1" applyAlignment="1" applyProtection="1">
      <alignment horizontal="center" vertical="center"/>
    </xf>
    <xf numFmtId="0" fontId="7" fillId="2" borderId="85" xfId="0" applyFont="1" applyFill="1" applyBorder="1" applyAlignment="1" applyProtection="1">
      <alignment horizontal="center" vertical="center"/>
    </xf>
    <xf numFmtId="0" fontId="7" fillId="0" borderId="85" xfId="0" applyFont="1" applyFill="1" applyBorder="1" applyAlignment="1" applyProtection="1">
      <alignment horizontal="center" vertical="center"/>
    </xf>
    <xf numFmtId="0" fontId="7" fillId="2" borderId="58" xfId="0" applyFont="1" applyFill="1" applyBorder="1" applyAlignment="1" applyProtection="1">
      <alignment horizontal="center" vertical="center"/>
    </xf>
    <xf numFmtId="0" fontId="7" fillId="2" borderId="86" xfId="0" applyFont="1" applyFill="1" applyBorder="1" applyAlignment="1" applyProtection="1">
      <alignment horizontal="center" vertical="center"/>
    </xf>
    <xf numFmtId="0" fontId="7" fillId="2" borderId="58" xfId="0" applyFont="1" applyFill="1" applyBorder="1" applyAlignment="1" applyProtection="1">
      <alignment horizontal="centerContinuous" vertical="center"/>
    </xf>
    <xf numFmtId="0" fontId="7" fillId="2" borderId="87" xfId="0" applyFont="1" applyFill="1" applyBorder="1" applyAlignment="1" applyProtection="1">
      <alignment horizontal="center" vertical="center"/>
    </xf>
    <xf numFmtId="164" fontId="7" fillId="2" borderId="88" xfId="2" applyFont="1" applyFill="1" applyBorder="1" applyAlignment="1" applyProtection="1">
      <alignment horizontal="left" vertical="center"/>
    </xf>
    <xf numFmtId="164" fontId="6" fillId="0" borderId="89" xfId="2" applyFont="1" applyBorder="1" applyAlignment="1" applyProtection="1">
      <alignment vertical="center"/>
    </xf>
    <xf numFmtId="164" fontId="7" fillId="2" borderId="90" xfId="2" applyFont="1" applyFill="1" applyBorder="1" applyAlignment="1" applyProtection="1">
      <alignment vertical="center"/>
    </xf>
    <xf numFmtId="164" fontId="7" fillId="2" borderId="89" xfId="2" applyFont="1" applyFill="1" applyBorder="1" applyAlignment="1" applyProtection="1">
      <alignment vertical="center"/>
    </xf>
    <xf numFmtId="0" fontId="27" fillId="2" borderId="91" xfId="0" quotePrefix="1" applyFont="1" applyFill="1" applyBorder="1" applyAlignment="1" applyProtection="1">
      <alignment horizontal="center" vertical="center"/>
    </xf>
    <xf numFmtId="0" fontId="27" fillId="2" borderId="90" xfId="0" quotePrefix="1" applyFont="1" applyFill="1" applyBorder="1" applyAlignment="1" applyProtection="1">
      <alignment horizontal="centerContinuous" vertical="center"/>
    </xf>
    <xf numFmtId="0" fontId="27" fillId="2" borderId="91" xfId="0" applyFont="1" applyFill="1" applyBorder="1" applyAlignment="1" applyProtection="1">
      <alignment horizontal="center" vertical="center"/>
    </xf>
    <xf numFmtId="0" fontId="27" fillId="0" borderId="90" xfId="0" applyFont="1" applyFill="1" applyBorder="1" applyAlignment="1" applyProtection="1">
      <alignment horizontal="center" vertical="center"/>
    </xf>
    <xf numFmtId="0" fontId="27" fillId="2" borderId="90" xfId="0" quotePrefix="1" applyFont="1" applyFill="1" applyBorder="1" applyAlignment="1" applyProtection="1">
      <alignment horizontal="center" vertical="center"/>
    </xf>
    <xf numFmtId="0" fontId="7" fillId="2" borderId="92" xfId="0" applyFont="1" applyFill="1" applyBorder="1" applyAlignment="1" applyProtection="1">
      <alignment horizontal="center" vertical="center"/>
    </xf>
    <xf numFmtId="164" fontId="6" fillId="0" borderId="30" xfId="2" applyFont="1" applyBorder="1" applyAlignment="1" applyProtection="1">
      <alignment horizontal="left" vertical="center"/>
    </xf>
    <xf numFmtId="164" fontId="6" fillId="0" borderId="0" xfId="2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5" borderId="0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93" xfId="0" applyFont="1" applyFill="1" applyBorder="1" applyAlignment="1" applyProtection="1">
      <alignment vertical="center"/>
    </xf>
    <xf numFmtId="0" fontId="14" fillId="0" borderId="94" xfId="0" applyFont="1" applyFill="1" applyBorder="1" applyAlignment="1" applyProtection="1">
      <alignment vertical="center"/>
    </xf>
    <xf numFmtId="168" fontId="13" fillId="3" borderId="95" xfId="0" applyNumberFormat="1" applyFont="1" applyFill="1" applyBorder="1" applyAlignment="1" applyProtection="1">
      <alignment vertical="center" shrinkToFit="1"/>
      <protection locked="0"/>
    </xf>
    <xf numFmtId="168" fontId="13" fillId="0" borderId="96" xfId="0" applyNumberFormat="1" applyFont="1" applyFill="1" applyBorder="1" applyAlignment="1" applyProtection="1">
      <alignment vertical="center" shrinkToFit="1"/>
    </xf>
    <xf numFmtId="168" fontId="29" fillId="2" borderId="94" xfId="0" applyNumberFormat="1" applyFont="1" applyFill="1" applyBorder="1" applyAlignment="1" applyProtection="1">
      <alignment vertical="center" shrinkToFit="1"/>
    </xf>
    <xf numFmtId="168" fontId="13" fillId="0" borderId="95" xfId="0" applyNumberFormat="1" applyFont="1" applyFill="1" applyBorder="1" applyAlignment="1" applyProtection="1">
      <alignment vertical="center" shrinkToFit="1"/>
    </xf>
    <xf numFmtId="168" fontId="13" fillId="0" borderId="97" xfId="0" applyNumberFormat="1" applyFont="1" applyFill="1" applyBorder="1" applyAlignment="1" applyProtection="1">
      <alignment vertical="center" shrinkToFit="1"/>
    </xf>
    <xf numFmtId="0" fontId="14" fillId="0" borderId="3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35" xfId="0" applyFont="1" applyFill="1" applyBorder="1" applyAlignment="1" applyProtection="1">
      <alignment vertical="center"/>
    </xf>
    <xf numFmtId="0" fontId="14" fillId="0" borderId="99" xfId="0" applyFont="1" applyFill="1" applyBorder="1" applyAlignment="1" applyProtection="1">
      <alignment vertical="center"/>
    </xf>
    <xf numFmtId="168" fontId="13" fillId="3" borderId="100" xfId="0" applyNumberFormat="1" applyFont="1" applyFill="1" applyBorder="1" applyAlignment="1" applyProtection="1">
      <alignment vertical="center" shrinkToFit="1"/>
      <protection locked="0"/>
    </xf>
    <xf numFmtId="168" fontId="13" fillId="0" borderId="41" xfId="0" applyNumberFormat="1" applyFont="1" applyFill="1" applyBorder="1" applyAlignment="1" applyProtection="1">
      <alignment vertical="center" shrinkToFit="1"/>
    </xf>
    <xf numFmtId="168" fontId="13" fillId="0" borderId="99" xfId="0" applyNumberFormat="1" applyFont="1" applyFill="1" applyBorder="1" applyAlignment="1" applyProtection="1">
      <alignment vertical="center" shrinkToFit="1"/>
    </xf>
    <xf numFmtId="168" fontId="29" fillId="2" borderId="99" xfId="0" applyNumberFormat="1" applyFont="1" applyFill="1" applyBorder="1" applyAlignment="1" applyProtection="1">
      <alignment vertical="center" shrinkToFit="1"/>
    </xf>
    <xf numFmtId="168" fontId="13" fillId="0" borderId="100" xfId="0" applyNumberFormat="1" applyFont="1" applyFill="1" applyBorder="1" applyAlignment="1" applyProtection="1">
      <alignment vertical="center" shrinkToFit="1"/>
    </xf>
    <xf numFmtId="168" fontId="13" fillId="0" borderId="101" xfId="0" applyNumberFormat="1" applyFont="1" applyFill="1" applyBorder="1" applyAlignment="1" applyProtection="1">
      <alignment vertical="center" shrinkToFit="1"/>
    </xf>
    <xf numFmtId="168" fontId="13" fillId="0" borderId="102" xfId="0" applyNumberFormat="1" applyFont="1" applyFill="1" applyBorder="1" applyAlignment="1" applyProtection="1">
      <alignment vertical="center" shrinkToFit="1"/>
    </xf>
    <xf numFmtId="0" fontId="14" fillId="0" borderId="85" xfId="0" applyFont="1" applyFill="1" applyBorder="1" applyAlignment="1" applyProtection="1">
      <alignment vertical="center"/>
    </xf>
    <xf numFmtId="0" fontId="14" fillId="0" borderId="103" xfId="0" applyFont="1" applyFill="1" applyBorder="1" applyAlignment="1" applyProtection="1">
      <alignment vertical="center"/>
    </xf>
    <xf numFmtId="0" fontId="30" fillId="0" borderId="104" xfId="0" applyFont="1" applyFill="1" applyBorder="1" applyAlignment="1" applyProtection="1">
      <alignment horizontal="left" vertical="center"/>
    </xf>
    <xf numFmtId="0" fontId="30" fillId="0" borderId="19" xfId="0" applyFont="1" applyFill="1" applyBorder="1" applyAlignment="1" applyProtection="1">
      <alignment horizontal="center" vertical="center"/>
    </xf>
    <xf numFmtId="0" fontId="30" fillId="0" borderId="18" xfId="0" applyFont="1" applyFill="1" applyBorder="1" applyAlignment="1" applyProtection="1">
      <alignment vertical="center"/>
    </xf>
    <xf numFmtId="0" fontId="30" fillId="0" borderId="105" xfId="0" applyFont="1" applyFill="1" applyBorder="1" applyAlignment="1" applyProtection="1">
      <alignment vertical="center"/>
    </xf>
    <xf numFmtId="168" fontId="31" fillId="0" borderId="106" xfId="0" applyNumberFormat="1" applyFont="1" applyFill="1" applyBorder="1" applyAlignment="1" applyProtection="1">
      <alignment vertical="center" shrinkToFit="1"/>
    </xf>
    <xf numFmtId="168" fontId="31" fillId="0" borderId="17" xfId="0" applyNumberFormat="1" applyFont="1" applyFill="1" applyBorder="1" applyAlignment="1" applyProtection="1">
      <alignment vertical="center" shrinkToFit="1"/>
    </xf>
    <xf numFmtId="168" fontId="32" fillId="2" borderId="17" xfId="0" applyNumberFormat="1" applyFont="1" applyFill="1" applyBorder="1" applyAlignment="1" applyProtection="1">
      <alignment vertical="center" shrinkToFit="1"/>
    </xf>
    <xf numFmtId="168" fontId="31" fillId="0" borderId="107" xfId="0" applyNumberFormat="1" applyFont="1" applyFill="1" applyBorder="1" applyAlignment="1" applyProtection="1">
      <alignment vertical="center" shrinkToFit="1"/>
    </xf>
    <xf numFmtId="168" fontId="31" fillId="0" borderId="108" xfId="0" applyNumberFormat="1" applyFont="1" applyFill="1" applyBorder="1" applyAlignment="1" applyProtection="1">
      <alignment vertical="center" shrinkToFit="1"/>
    </xf>
    <xf numFmtId="168" fontId="31" fillId="0" borderId="109" xfId="0" applyNumberFormat="1" applyFont="1" applyFill="1" applyBorder="1" applyAlignment="1" applyProtection="1">
      <alignment vertical="center" shrinkToFit="1"/>
    </xf>
    <xf numFmtId="0" fontId="30" fillId="0" borderId="1" xfId="0" applyFont="1" applyFill="1" applyBorder="1" applyAlignment="1" applyProtection="1">
      <alignment horizontal="left" vertical="center"/>
    </xf>
    <xf numFmtId="0" fontId="30" fillId="0" borderId="4" xfId="0" applyFont="1" applyFill="1" applyBorder="1" applyAlignment="1" applyProtection="1">
      <alignment horizontal="center" vertical="center"/>
    </xf>
    <xf numFmtId="0" fontId="30" fillId="0" borderId="3" xfId="0" applyFont="1" applyFill="1" applyBorder="1" applyAlignment="1" applyProtection="1">
      <alignment vertical="center"/>
    </xf>
    <xf numFmtId="0" fontId="30" fillId="0" borderId="2" xfId="0" applyFont="1" applyFill="1" applyBorder="1" applyAlignment="1" applyProtection="1">
      <alignment vertical="center"/>
    </xf>
    <xf numFmtId="168" fontId="33" fillId="3" borderId="110" xfId="0" applyNumberFormat="1" applyFont="1" applyFill="1" applyBorder="1" applyAlignment="1" applyProtection="1">
      <alignment vertical="center" shrinkToFit="1"/>
      <protection locked="0"/>
    </xf>
    <xf numFmtId="168" fontId="13" fillId="0" borderId="111" xfId="0" applyNumberFormat="1" applyFont="1" applyFill="1" applyBorder="1" applyAlignment="1" applyProtection="1">
      <alignment vertical="center" shrinkToFit="1"/>
    </xf>
    <xf numFmtId="168" fontId="34" fillId="2" borderId="2" xfId="0" applyNumberFormat="1" applyFont="1" applyFill="1" applyBorder="1" applyAlignment="1" applyProtection="1">
      <alignment vertical="center" shrinkToFit="1"/>
    </xf>
    <xf numFmtId="168" fontId="13" fillId="0" borderId="10" xfId="0" applyNumberFormat="1" applyFont="1" applyFill="1" applyBorder="1" applyAlignment="1" applyProtection="1">
      <alignment vertical="center" shrinkToFit="1"/>
    </xf>
    <xf numFmtId="168" fontId="33" fillId="3" borderId="106" xfId="0" applyNumberFormat="1" applyFont="1" applyFill="1" applyBorder="1" applyAlignment="1" applyProtection="1">
      <alignment vertical="center" shrinkToFit="1"/>
      <protection locked="0"/>
    </xf>
    <xf numFmtId="168" fontId="13" fillId="0" borderId="112" xfId="0" applyNumberFormat="1" applyFont="1" applyFill="1" applyBorder="1" applyAlignment="1" applyProtection="1">
      <alignment vertical="center" shrinkToFit="1"/>
    </xf>
    <xf numFmtId="168" fontId="13" fillId="0" borderId="17" xfId="0" applyNumberFormat="1" applyFont="1" applyFill="1" applyBorder="1" applyAlignment="1" applyProtection="1">
      <alignment vertical="center" shrinkToFit="1"/>
    </xf>
    <xf numFmtId="168" fontId="34" fillId="2" borderId="105" xfId="0" applyNumberFormat="1" applyFont="1" applyFill="1" applyBorder="1" applyAlignment="1" applyProtection="1">
      <alignment vertical="center" shrinkToFit="1"/>
    </xf>
    <xf numFmtId="168" fontId="13" fillId="0" borderId="106" xfId="0" applyNumberFormat="1" applyFont="1" applyFill="1" applyBorder="1" applyAlignment="1" applyProtection="1">
      <alignment vertical="center" shrinkToFit="1"/>
    </xf>
    <xf numFmtId="168" fontId="13" fillId="0" borderId="20" xfId="0" applyNumberFormat="1" applyFont="1" applyFill="1" applyBorder="1" applyAlignment="1" applyProtection="1">
      <alignment vertical="center" shrinkToFit="1"/>
    </xf>
    <xf numFmtId="168" fontId="13" fillId="0" borderId="94" xfId="0" applyNumberFormat="1" applyFont="1" applyFill="1" applyBorder="1" applyAlignment="1" applyProtection="1">
      <alignment vertical="center" shrinkToFit="1"/>
    </xf>
    <xf numFmtId="168" fontId="13" fillId="0" borderId="113" xfId="0" applyNumberFormat="1" applyFont="1" applyFill="1" applyBorder="1" applyAlignment="1" applyProtection="1">
      <alignment vertical="center" shrinkToFit="1"/>
    </xf>
    <xf numFmtId="168" fontId="13" fillId="0" borderId="84" xfId="0" applyNumberFormat="1" applyFont="1" applyFill="1" applyBorder="1" applyAlignment="1" applyProtection="1">
      <alignment vertical="center" shrinkToFit="1"/>
    </xf>
    <xf numFmtId="168" fontId="13" fillId="0" borderId="103" xfId="0" applyNumberFormat="1" applyFont="1" applyFill="1" applyBorder="1" applyAlignment="1" applyProtection="1">
      <alignment vertical="center" shrinkToFit="1"/>
    </xf>
    <xf numFmtId="168" fontId="29" fillId="2" borderId="103" xfId="0" applyNumberFormat="1" applyFont="1" applyFill="1" applyBorder="1" applyAlignment="1" applyProtection="1">
      <alignment vertical="center" shrinkToFit="1"/>
    </xf>
    <xf numFmtId="168" fontId="31" fillId="0" borderId="105" xfId="0" applyNumberFormat="1" applyFont="1" applyFill="1" applyBorder="1" applyAlignment="1" applyProtection="1">
      <alignment vertical="center" shrinkToFit="1"/>
    </xf>
    <xf numFmtId="168" fontId="32" fillId="2" borderId="105" xfId="0" applyNumberFormat="1" applyFont="1" applyFill="1" applyBorder="1" applyAlignment="1" applyProtection="1">
      <alignment vertical="center" shrinkToFit="1"/>
    </xf>
    <xf numFmtId="168" fontId="31" fillId="0" borderId="20" xfId="0" applyNumberFormat="1" applyFont="1" applyFill="1" applyBorder="1" applyAlignment="1" applyProtection="1">
      <alignment vertical="center" shrinkToFit="1"/>
    </xf>
    <xf numFmtId="0" fontId="14" fillId="0" borderId="48" xfId="0" applyFont="1" applyFill="1" applyBorder="1" applyAlignment="1" applyProtection="1">
      <alignment vertical="center"/>
    </xf>
    <xf numFmtId="0" fontId="14" fillId="0" borderId="23" xfId="0" applyFont="1" applyFill="1" applyBorder="1" applyAlignment="1" applyProtection="1">
      <alignment vertical="center"/>
    </xf>
    <xf numFmtId="168" fontId="13" fillId="0" borderId="114" xfId="0" applyNumberFormat="1" applyFont="1" applyFill="1" applyBorder="1" applyAlignment="1" applyProtection="1">
      <alignment vertical="center" shrinkToFit="1"/>
    </xf>
    <xf numFmtId="168" fontId="13" fillId="0" borderId="24" xfId="0" applyNumberFormat="1" applyFont="1" applyFill="1" applyBorder="1" applyAlignment="1" applyProtection="1">
      <alignment vertical="center" shrinkToFit="1"/>
    </xf>
    <xf numFmtId="168" fontId="13" fillId="0" borderId="23" xfId="0" applyNumberFormat="1" applyFont="1" applyFill="1" applyBorder="1" applyAlignment="1" applyProtection="1">
      <alignment vertical="center" shrinkToFit="1"/>
    </xf>
    <xf numFmtId="168" fontId="29" fillId="2" borderId="23" xfId="0" applyNumberFormat="1" applyFont="1" applyFill="1" applyBorder="1" applyAlignment="1" applyProtection="1">
      <alignment vertical="center" shrinkToFit="1"/>
    </xf>
    <xf numFmtId="168" fontId="13" fillId="0" borderId="32" xfId="0" applyNumberFormat="1" applyFont="1" applyFill="1" applyBorder="1" applyAlignment="1" applyProtection="1">
      <alignment vertical="center" shrinkToFit="1"/>
    </xf>
    <xf numFmtId="168" fontId="13" fillId="0" borderId="75" xfId="0" applyNumberFormat="1" applyFont="1" applyFill="1" applyBorder="1" applyAlignment="1" applyProtection="1">
      <alignment vertical="center" shrinkToFit="1"/>
    </xf>
    <xf numFmtId="0" fontId="14" fillId="0" borderId="37" xfId="0" applyFont="1" applyFill="1" applyBorder="1" applyAlignment="1" applyProtection="1">
      <alignment vertical="center"/>
    </xf>
    <xf numFmtId="168" fontId="35" fillId="0" borderId="100" xfId="0" applyNumberFormat="1" applyFont="1" applyFill="1" applyBorder="1" applyAlignment="1" applyProtection="1">
      <alignment vertical="center" shrinkToFit="1"/>
    </xf>
    <xf numFmtId="168" fontId="35" fillId="0" borderId="41" xfId="0" applyNumberFormat="1" applyFont="1" applyFill="1" applyBorder="1" applyAlignment="1" applyProtection="1">
      <alignment vertical="center" shrinkToFit="1"/>
    </xf>
    <xf numFmtId="168" fontId="35" fillId="0" borderId="99" xfId="0" applyNumberFormat="1" applyFont="1" applyFill="1" applyBorder="1" applyAlignment="1" applyProtection="1">
      <alignment vertical="center" shrinkToFit="1"/>
    </xf>
    <xf numFmtId="168" fontId="36" fillId="2" borderId="99" xfId="0" applyNumberFormat="1" applyFont="1" applyFill="1" applyBorder="1" applyAlignment="1" applyProtection="1">
      <alignment vertical="center" shrinkToFit="1"/>
    </xf>
    <xf numFmtId="0" fontId="14" fillId="0" borderId="41" xfId="0" applyFont="1" applyFill="1" applyBorder="1" applyAlignment="1" applyProtection="1">
      <alignment vertical="center"/>
    </xf>
    <xf numFmtId="168" fontId="35" fillId="0" borderId="101" xfId="0" applyNumberFormat="1" applyFont="1" applyFill="1" applyBorder="1" applyAlignment="1" applyProtection="1">
      <alignment vertical="center" shrinkToFit="1"/>
    </xf>
    <xf numFmtId="168" fontId="35" fillId="0" borderId="100" xfId="2" applyNumberFormat="1" applyFont="1" applyFill="1" applyBorder="1" applyAlignment="1" applyProtection="1">
      <alignment vertical="center" shrinkToFit="1"/>
    </xf>
    <xf numFmtId="168" fontId="35" fillId="3" borderId="114" xfId="0" applyNumberFormat="1" applyFont="1" applyFill="1" applyBorder="1" applyAlignment="1" applyProtection="1">
      <alignment vertical="center" shrinkToFit="1"/>
      <protection locked="0"/>
    </xf>
    <xf numFmtId="168" fontId="13" fillId="0" borderId="115" xfId="0" applyNumberFormat="1" applyFont="1" applyFill="1" applyBorder="1" applyAlignment="1" applyProtection="1">
      <alignment vertical="center" shrinkToFit="1"/>
    </xf>
    <xf numFmtId="168" fontId="13" fillId="0" borderId="52" xfId="0" applyNumberFormat="1" applyFont="1" applyFill="1" applyBorder="1" applyAlignment="1" applyProtection="1">
      <alignment vertical="center" shrinkToFit="1"/>
    </xf>
    <xf numFmtId="168" fontId="34" fillId="2" borderId="50" xfId="0" applyNumberFormat="1" applyFont="1" applyFill="1" applyBorder="1" applyAlignment="1" applyProtection="1">
      <alignment vertical="center" shrinkToFit="1"/>
    </xf>
    <xf numFmtId="168" fontId="13" fillId="0" borderId="116" xfId="0" applyNumberFormat="1" applyFont="1" applyFill="1" applyBorder="1" applyAlignment="1" applyProtection="1">
      <alignment vertical="center" shrinkToFit="1"/>
    </xf>
    <xf numFmtId="168" fontId="31" fillId="0" borderId="117" xfId="0" applyNumberFormat="1" applyFont="1" applyFill="1" applyBorder="1" applyAlignment="1" applyProtection="1">
      <alignment vertical="center" shrinkToFit="1"/>
    </xf>
    <xf numFmtId="168" fontId="31" fillId="0" borderId="57" xfId="0" applyNumberFormat="1" applyFont="1" applyFill="1" applyBorder="1" applyAlignment="1" applyProtection="1">
      <alignment vertical="center" shrinkToFit="1"/>
    </xf>
    <xf numFmtId="168" fontId="32" fillId="2" borderId="57" xfId="0" applyNumberFormat="1" applyFont="1" applyFill="1" applyBorder="1" applyAlignment="1" applyProtection="1">
      <alignment vertical="center" shrinkToFit="1"/>
    </xf>
    <xf numFmtId="168" fontId="31" fillId="0" borderId="118" xfId="0" applyNumberFormat="1" applyFont="1" applyFill="1" applyBorder="1" applyAlignment="1" applyProtection="1">
      <alignment vertical="center" shrinkToFit="1"/>
    </xf>
    <xf numFmtId="168" fontId="31" fillId="0" borderId="119" xfId="0" applyNumberFormat="1" applyFont="1" applyFill="1" applyBorder="1" applyAlignment="1" applyProtection="1">
      <alignment vertical="center" shrinkToFit="1"/>
    </xf>
    <xf numFmtId="0" fontId="10" fillId="0" borderId="120" xfId="0" applyFont="1" applyFill="1" applyBorder="1" applyAlignment="1" applyProtection="1">
      <alignment horizontal="left" vertical="center"/>
    </xf>
    <xf numFmtId="0" fontId="7" fillId="0" borderId="121" xfId="0" applyFont="1" applyFill="1" applyBorder="1" applyAlignment="1" applyProtection="1">
      <alignment horizontal="center" vertical="center"/>
    </xf>
    <xf numFmtId="0" fontId="24" fillId="0" borderId="122" xfId="0" applyFont="1" applyFill="1" applyBorder="1" applyAlignment="1" applyProtection="1">
      <alignment vertical="center"/>
    </xf>
    <xf numFmtId="0" fontId="7" fillId="0" borderId="123" xfId="0" applyFont="1" applyFill="1" applyBorder="1" applyAlignment="1" applyProtection="1">
      <alignment vertical="center"/>
    </xf>
    <xf numFmtId="168" fontId="35" fillId="3" borderId="124" xfId="0" applyNumberFormat="1" applyFont="1" applyFill="1" applyBorder="1" applyAlignment="1" applyProtection="1">
      <alignment vertical="center" shrinkToFit="1"/>
      <protection locked="0"/>
    </xf>
    <xf numFmtId="168" fontId="13" fillId="0" borderId="125" xfId="0" applyNumberFormat="1" applyFont="1" applyFill="1" applyBorder="1" applyAlignment="1" applyProtection="1">
      <alignment vertical="center" shrinkToFit="1"/>
    </xf>
    <xf numFmtId="0" fontId="10" fillId="0" borderId="28" xfId="0" applyFont="1" applyFill="1" applyBorder="1" applyAlignment="1" applyProtection="1">
      <alignment horizontal="left" vertical="center"/>
    </xf>
    <xf numFmtId="0" fontId="10" fillId="0" borderId="127" xfId="0" applyFont="1" applyFill="1" applyBorder="1" applyAlignment="1" applyProtection="1">
      <alignment horizontal="center" vertical="center"/>
    </xf>
    <xf numFmtId="0" fontId="24" fillId="0" borderId="128" xfId="0" applyFont="1" applyFill="1" applyBorder="1" applyAlignment="1" applyProtection="1">
      <alignment vertical="center"/>
    </xf>
    <xf numFmtId="0" fontId="7" fillId="0" borderId="129" xfId="0" applyFont="1" applyFill="1" applyBorder="1" applyAlignment="1" applyProtection="1">
      <alignment vertical="center"/>
    </xf>
    <xf numFmtId="168" fontId="31" fillId="0" borderId="130" xfId="0" applyNumberFormat="1" applyFont="1" applyFill="1" applyBorder="1" applyAlignment="1" applyProtection="1">
      <alignment vertical="center" shrinkToFit="1"/>
    </xf>
    <xf numFmtId="168" fontId="31" fillId="0" borderId="131" xfId="0" applyNumberFormat="1" applyFont="1" applyFill="1" applyBorder="1" applyAlignment="1" applyProtection="1">
      <alignment vertical="center" shrinkToFit="1"/>
    </xf>
    <xf numFmtId="168" fontId="31" fillId="0" borderId="132" xfId="0" applyNumberFormat="1" applyFont="1" applyFill="1" applyBorder="1" applyAlignment="1" applyProtection="1">
      <alignment vertical="center" shrinkToFit="1"/>
    </xf>
    <xf numFmtId="168" fontId="32" fillId="2" borderId="132" xfId="0" applyNumberFormat="1" applyFont="1" applyFill="1" applyBorder="1" applyAlignment="1" applyProtection="1">
      <alignment vertical="center" shrinkToFit="1"/>
    </xf>
    <xf numFmtId="168" fontId="31" fillId="0" borderId="133" xfId="0" applyNumberFormat="1" applyFont="1" applyFill="1" applyBorder="1" applyAlignment="1" applyProtection="1">
      <alignment vertical="center" shrinkToFit="1"/>
    </xf>
    <xf numFmtId="168" fontId="31" fillId="0" borderId="134" xfId="0" applyNumberFormat="1" applyFont="1" applyFill="1" applyBorder="1" applyAlignment="1" applyProtection="1">
      <alignment vertical="center" shrinkToFit="1"/>
    </xf>
    <xf numFmtId="168" fontId="31" fillId="0" borderId="135" xfId="0" applyNumberFormat="1" applyFont="1" applyFill="1" applyBorder="1" applyAlignment="1" applyProtection="1">
      <alignment vertical="center" shrinkToFit="1"/>
    </xf>
    <xf numFmtId="0" fontId="7" fillId="0" borderId="66" xfId="0" applyFont="1" applyFill="1" applyBorder="1" applyAlignment="1" applyProtection="1">
      <alignment horizontal="left" vertical="center"/>
    </xf>
    <xf numFmtId="0" fontId="7" fillId="0" borderId="59" xfId="0" applyFont="1" applyFill="1" applyBorder="1" applyAlignment="1" applyProtection="1">
      <alignment horizontal="center" vertical="center"/>
    </xf>
    <xf numFmtId="0" fontId="12" fillId="0" borderId="38" xfId="0" applyFont="1" applyFill="1" applyBorder="1" applyAlignment="1" applyProtection="1">
      <alignment vertical="center"/>
    </xf>
    <xf numFmtId="168" fontId="13" fillId="0" borderId="137" xfId="0" applyNumberFormat="1" applyFont="1" applyFill="1" applyBorder="1" applyAlignment="1" applyProtection="1">
      <alignment vertical="center" shrinkToFit="1"/>
    </xf>
    <xf numFmtId="168" fontId="13" fillId="0" borderId="138" xfId="0" applyNumberFormat="1" applyFont="1" applyFill="1" applyBorder="1" applyAlignment="1" applyProtection="1">
      <alignment vertical="center" shrinkToFit="1"/>
    </xf>
    <xf numFmtId="0" fontId="7" fillId="0" borderId="3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/>
    </xf>
    <xf numFmtId="0" fontId="12" fillId="0" borderId="99" xfId="0" applyFont="1" applyFill="1" applyBorder="1" applyAlignment="1" applyProtection="1">
      <alignment vertical="center"/>
    </xf>
    <xf numFmtId="0" fontId="12" fillId="0" borderId="23" xfId="0" applyFont="1" applyFill="1" applyBorder="1" applyAlignment="1" applyProtection="1">
      <alignment vertical="center"/>
    </xf>
    <xf numFmtId="168" fontId="13" fillId="0" borderId="139" xfId="0" applyNumberFormat="1" applyFont="1" applyFill="1" applyBorder="1" applyAlignment="1" applyProtection="1">
      <alignment vertical="center" shrinkToFit="1"/>
    </xf>
    <xf numFmtId="0" fontId="27" fillId="0" borderId="28" xfId="0" applyFont="1" applyFill="1" applyBorder="1" applyAlignment="1" applyProtection="1">
      <alignment horizontal="left" vertical="center"/>
    </xf>
    <xf numFmtId="0" fontId="27" fillId="0" borderId="127" xfId="0" applyFont="1" applyFill="1" applyBorder="1" applyAlignment="1" applyProtection="1">
      <alignment horizontal="center" vertical="center"/>
    </xf>
    <xf numFmtId="0" fontId="27" fillId="0" borderId="128" xfId="0" applyFont="1" applyFill="1" applyBorder="1" applyAlignment="1" applyProtection="1">
      <alignment vertical="center"/>
    </xf>
    <xf numFmtId="0" fontId="27" fillId="0" borderId="129" xfId="0" applyFont="1" applyFill="1" applyBorder="1" applyAlignment="1" applyProtection="1">
      <alignment vertical="center"/>
    </xf>
    <xf numFmtId="168" fontId="37" fillId="0" borderId="130" xfId="0" applyNumberFormat="1" applyFont="1" applyFill="1" applyBorder="1" applyAlignment="1" applyProtection="1">
      <alignment vertical="center" shrinkToFit="1"/>
    </xf>
    <xf numFmtId="168" fontId="37" fillId="0" borderId="140" xfId="0" applyNumberFormat="1" applyFont="1" applyFill="1" applyBorder="1" applyAlignment="1" applyProtection="1">
      <alignment vertical="center" shrinkToFit="1"/>
    </xf>
    <xf numFmtId="168" fontId="38" fillId="2" borderId="140" xfId="0" applyNumberFormat="1" applyFont="1" applyFill="1" applyBorder="1" applyAlignment="1" applyProtection="1">
      <alignment vertical="center" shrinkToFit="1"/>
    </xf>
    <xf numFmtId="168" fontId="37" fillId="0" borderId="129" xfId="0" applyNumberFormat="1" applyFont="1" applyFill="1" applyBorder="1" applyAlignment="1" applyProtection="1">
      <alignment vertical="center" shrinkToFit="1"/>
    </xf>
    <xf numFmtId="168" fontId="37" fillId="0" borderId="141" xfId="0" applyNumberFormat="1" applyFont="1" applyFill="1" applyBorder="1" applyAlignment="1" applyProtection="1">
      <alignment vertical="center" shrinkToFit="1"/>
    </xf>
    <xf numFmtId="168" fontId="37" fillId="0" borderId="142" xfId="0" applyNumberFormat="1" applyFont="1" applyFill="1" applyBorder="1" applyAlignment="1" applyProtection="1">
      <alignment vertical="center" shrinkToFit="1"/>
    </xf>
    <xf numFmtId="168" fontId="37" fillId="0" borderId="136" xfId="0" applyNumberFormat="1" applyFont="1" applyFill="1" applyBorder="1" applyAlignment="1" applyProtection="1">
      <alignment vertical="center" shrinkToFit="1"/>
    </xf>
    <xf numFmtId="164" fontId="39" fillId="0" borderId="30" xfId="2" applyFont="1" applyFill="1" applyBorder="1" applyAlignment="1" applyProtection="1">
      <alignment horizontal="left" vertical="center"/>
    </xf>
    <xf numFmtId="164" fontId="39" fillId="0" borderId="0" xfId="2" applyFont="1" applyFill="1" applyBorder="1" applyAlignment="1" applyProtection="1">
      <alignment horizontal="center" vertical="center"/>
    </xf>
    <xf numFmtId="164" fontId="39" fillId="0" borderId="0" xfId="2" applyFont="1" applyFill="1" applyBorder="1" applyAlignment="1" applyProtection="1">
      <alignment vertical="center"/>
    </xf>
    <xf numFmtId="168" fontId="35" fillId="0" borderId="0" xfId="2" applyNumberFormat="1" applyFont="1" applyFill="1" applyBorder="1" applyAlignment="1" applyProtection="1">
      <alignment vertical="center" shrinkToFit="1"/>
    </xf>
    <xf numFmtId="168" fontId="36" fillId="2" borderId="0" xfId="2" applyNumberFormat="1" applyFont="1" applyFill="1" applyBorder="1" applyAlignment="1" applyProtection="1">
      <alignment vertical="center" shrinkToFit="1"/>
    </xf>
    <xf numFmtId="168" fontId="35" fillId="0" borderId="10" xfId="2" applyNumberFormat="1" applyFont="1" applyFill="1" applyBorder="1" applyAlignment="1" applyProtection="1">
      <alignment vertical="center" shrinkToFit="1"/>
    </xf>
    <xf numFmtId="0" fontId="10" fillId="0" borderId="143" xfId="0" applyFont="1" applyFill="1" applyBorder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vertical="center"/>
    </xf>
    <xf numFmtId="0" fontId="7" fillId="0" borderId="144" xfId="0" applyFont="1" applyFill="1" applyBorder="1" applyAlignment="1" applyProtection="1">
      <alignment vertical="center"/>
    </xf>
    <xf numFmtId="168" fontId="13" fillId="0" borderId="145" xfId="0" applyNumberFormat="1" applyFont="1" applyFill="1" applyBorder="1" applyAlignment="1" applyProtection="1">
      <alignment vertical="center" shrinkToFit="1"/>
    </xf>
    <xf numFmtId="168" fontId="13" fillId="0" borderId="144" xfId="0" applyNumberFormat="1" applyFont="1" applyFill="1" applyBorder="1" applyAlignment="1" applyProtection="1">
      <alignment vertical="center" shrinkToFit="1"/>
    </xf>
    <xf numFmtId="168" fontId="29" fillId="2" borderId="144" xfId="0" applyNumberFormat="1" applyFont="1" applyFill="1" applyBorder="1" applyAlignment="1" applyProtection="1">
      <alignment vertical="center" shrinkToFit="1"/>
    </xf>
    <xf numFmtId="168" fontId="13" fillId="0" borderId="146" xfId="0" applyNumberFormat="1" applyFont="1" applyFill="1" applyBorder="1" applyAlignment="1" applyProtection="1">
      <alignment vertical="center" shrinkToFit="1"/>
    </xf>
    <xf numFmtId="168" fontId="13" fillId="0" borderId="147" xfId="0" applyNumberFormat="1" applyFont="1" applyFill="1" applyBorder="1" applyAlignment="1" applyProtection="1">
      <alignment vertical="center" shrinkToFit="1"/>
    </xf>
    <xf numFmtId="168" fontId="31" fillId="0" borderId="148" xfId="0" applyNumberFormat="1" applyFont="1" applyFill="1" applyBorder="1" applyAlignment="1" applyProtection="1">
      <alignment vertical="center" shrinkToFit="1"/>
    </xf>
    <xf numFmtId="0" fontId="10" fillId="0" borderId="149" xfId="0" applyFont="1" applyFill="1" applyBorder="1" applyAlignment="1" applyProtection="1">
      <alignment horizontal="left" vertical="center"/>
    </xf>
    <xf numFmtId="0" fontId="7" fillId="0" borderId="14" xfId="0" applyFont="1" applyFill="1" applyBorder="1" applyAlignment="1" applyProtection="1">
      <alignment horizontal="center" vertical="center"/>
    </xf>
    <xf numFmtId="0" fontId="24" fillId="0" borderId="13" xfId="0" applyFont="1" applyFill="1" applyBorder="1" applyAlignment="1" applyProtection="1">
      <alignment vertical="center"/>
    </xf>
    <xf numFmtId="0" fontId="7" fillId="0" borderId="33" xfId="0" applyFont="1" applyFill="1" applyBorder="1" applyAlignment="1" applyProtection="1">
      <alignment vertical="center"/>
    </xf>
    <xf numFmtId="168" fontId="13" fillId="0" borderId="150" xfId="0" applyNumberFormat="1" applyFont="1" applyFill="1" applyBorder="1" applyAlignment="1" applyProtection="1">
      <alignment vertical="center" shrinkToFit="1"/>
    </xf>
    <xf numFmtId="168" fontId="13" fillId="0" borderId="33" xfId="0" applyNumberFormat="1" applyFont="1" applyFill="1" applyBorder="1" applyAlignment="1" applyProtection="1">
      <alignment vertical="center" shrinkToFit="1"/>
    </xf>
    <xf numFmtId="168" fontId="29" fillId="2" borderId="33" xfId="0" applyNumberFormat="1" applyFont="1" applyFill="1" applyBorder="1" applyAlignment="1" applyProtection="1">
      <alignment vertical="center" shrinkToFit="1"/>
    </xf>
    <xf numFmtId="168" fontId="13" fillId="0" borderId="151" xfId="0" applyNumberFormat="1" applyFont="1" applyFill="1" applyBorder="1" applyAlignment="1" applyProtection="1">
      <alignment vertical="center" shrinkToFit="1"/>
    </xf>
    <xf numFmtId="168" fontId="13" fillId="0" borderId="152" xfId="0" applyNumberFormat="1" applyFont="1" applyFill="1" applyBorder="1" applyAlignment="1" applyProtection="1">
      <alignment vertical="center" shrinkToFit="1"/>
    </xf>
    <xf numFmtId="168" fontId="31" fillId="0" borderId="75" xfId="0" applyNumberFormat="1" applyFont="1" applyFill="1" applyBorder="1" applyAlignment="1" applyProtection="1">
      <alignment vertical="center" shrinkToFit="1"/>
    </xf>
    <xf numFmtId="0" fontId="14" fillId="0" borderId="35" xfId="0" applyFont="1" applyFill="1" applyBorder="1" applyAlignment="1" applyProtection="1">
      <alignment horizontal="left" vertical="center"/>
    </xf>
    <xf numFmtId="0" fontId="7" fillId="0" borderId="99" xfId="0" applyFont="1" applyFill="1" applyBorder="1" applyAlignment="1" applyProtection="1">
      <alignment vertical="center"/>
    </xf>
    <xf numFmtId="168" fontId="13" fillId="0" borderId="153" xfId="0" applyNumberFormat="1" applyFont="1" applyFill="1" applyBorder="1" applyAlignment="1" applyProtection="1">
      <alignment vertical="center" shrinkToFit="1"/>
    </xf>
    <xf numFmtId="168" fontId="31" fillId="0" borderId="102" xfId="0" applyNumberFormat="1" applyFont="1" applyFill="1" applyBorder="1" applyAlignment="1" applyProtection="1">
      <alignment vertical="center" shrinkToFit="1"/>
    </xf>
    <xf numFmtId="0" fontId="14" fillId="0" borderId="48" xfId="0" applyFont="1" applyFill="1" applyBorder="1" applyAlignment="1" applyProtection="1">
      <alignment horizontal="left" vertical="center"/>
    </xf>
    <xf numFmtId="0" fontId="7" fillId="0" borderId="103" xfId="0" applyFont="1" applyFill="1" applyBorder="1" applyAlignment="1" applyProtection="1">
      <alignment vertical="center"/>
    </xf>
    <xf numFmtId="168" fontId="13" fillId="0" borderId="154" xfId="0" applyNumberFormat="1" applyFont="1" applyFill="1" applyBorder="1" applyAlignment="1" applyProtection="1">
      <alignment vertical="center" shrinkToFit="1"/>
    </xf>
    <xf numFmtId="0" fontId="10" fillId="0" borderId="21" xfId="0" applyFont="1" applyFill="1" applyBorder="1" applyAlignment="1" applyProtection="1">
      <alignment horizontal="left" vertical="center"/>
    </xf>
    <xf numFmtId="0" fontId="10" fillId="0" borderId="31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vertical="center"/>
    </xf>
    <xf numFmtId="0" fontId="10" fillId="0" borderId="33" xfId="0" applyFont="1" applyFill="1" applyBorder="1" applyAlignment="1" applyProtection="1">
      <alignment vertical="center"/>
    </xf>
    <xf numFmtId="168" fontId="31" fillId="0" borderId="150" xfId="0" applyNumberFormat="1" applyFont="1" applyFill="1" applyBorder="1" applyAlignment="1" applyProtection="1">
      <alignment vertical="center" shrinkToFit="1"/>
    </xf>
    <xf numFmtId="168" fontId="31" fillId="0" borderId="24" xfId="0" applyNumberFormat="1" applyFont="1" applyFill="1" applyBorder="1" applyAlignment="1" applyProtection="1">
      <alignment vertical="center" shrinkToFit="1"/>
    </xf>
    <xf numFmtId="168" fontId="32" fillId="2" borderId="33" xfId="0" applyNumberFormat="1" applyFont="1" applyFill="1" applyBorder="1" applyAlignment="1" applyProtection="1">
      <alignment vertical="center" shrinkToFit="1"/>
    </xf>
    <xf numFmtId="168" fontId="31" fillId="0" borderId="154" xfId="0" applyNumberFormat="1" applyFont="1" applyFill="1" applyBorder="1" applyAlignment="1" applyProtection="1">
      <alignment vertical="center" shrinkToFit="1"/>
    </xf>
    <xf numFmtId="0" fontId="7" fillId="0" borderId="35" xfId="0" applyFont="1" applyFill="1" applyBorder="1" applyAlignment="1" applyProtection="1">
      <alignment vertical="center"/>
    </xf>
    <xf numFmtId="0" fontId="10" fillId="0" borderId="99" xfId="0" applyFont="1" applyFill="1" applyBorder="1" applyAlignment="1" applyProtection="1">
      <alignment vertical="center"/>
    </xf>
    <xf numFmtId="168" fontId="31" fillId="0" borderId="153" xfId="0" applyNumberFormat="1" applyFont="1" applyFill="1" applyBorder="1" applyAlignment="1" applyProtection="1">
      <alignment vertical="center" shrinkToFit="1"/>
    </xf>
    <xf numFmtId="168" fontId="31" fillId="0" borderId="99" xfId="0" applyNumberFormat="1" applyFont="1" applyFill="1" applyBorder="1" applyAlignment="1" applyProtection="1">
      <alignment vertical="center" shrinkToFit="1"/>
    </xf>
    <xf numFmtId="168" fontId="32" fillId="2" borderId="99" xfId="0" applyNumberFormat="1" applyFont="1" applyFill="1" applyBorder="1" applyAlignment="1" applyProtection="1">
      <alignment vertical="center" shrinkToFit="1"/>
    </xf>
    <xf numFmtId="168" fontId="31" fillId="0" borderId="100" xfId="0" applyNumberFormat="1" applyFont="1" applyFill="1" applyBorder="1" applyAlignment="1" applyProtection="1">
      <alignment vertical="center" shrinkToFit="1"/>
    </xf>
    <xf numFmtId="168" fontId="31" fillId="0" borderId="42" xfId="0" applyNumberFormat="1" applyFont="1" applyFill="1" applyBorder="1" applyAlignment="1" applyProtection="1">
      <alignment vertical="center" shrinkToFit="1"/>
    </xf>
    <xf numFmtId="0" fontId="10" fillId="0" borderId="30" xfId="0" applyFont="1" applyFill="1" applyBorder="1" applyAlignment="1" applyProtection="1">
      <alignment horizontal="left" vertical="center"/>
    </xf>
    <xf numFmtId="168" fontId="31" fillId="0" borderId="155" xfId="0" applyNumberFormat="1" applyFont="1" applyFill="1" applyBorder="1" applyAlignment="1" applyProtection="1">
      <alignment vertical="center" shrinkToFit="1"/>
    </xf>
    <xf numFmtId="168" fontId="31" fillId="0" borderId="33" xfId="0" applyNumberFormat="1" applyFont="1" applyFill="1" applyBorder="1" applyAlignment="1" applyProtection="1">
      <alignment vertical="center" shrinkToFit="1"/>
    </xf>
    <xf numFmtId="168" fontId="31" fillId="0" borderId="151" xfId="0" applyNumberFormat="1" applyFont="1" applyFill="1" applyBorder="1" applyAlignment="1" applyProtection="1">
      <alignment vertical="center" shrinkToFit="1"/>
    </xf>
    <xf numFmtId="168" fontId="31" fillId="0" borderId="67" xfId="0" applyNumberFormat="1" applyFont="1" applyFill="1" applyBorder="1" applyAlignment="1" applyProtection="1">
      <alignment vertical="center" shrinkToFit="1"/>
    </xf>
    <xf numFmtId="168" fontId="31" fillId="0" borderId="156" xfId="0" applyNumberFormat="1" applyFont="1" applyFill="1" applyBorder="1" applyAlignment="1" applyProtection="1">
      <alignment vertical="center" shrinkToFit="1"/>
    </xf>
    <xf numFmtId="0" fontId="10" fillId="0" borderId="58" xfId="0" applyFont="1" applyFill="1" applyBorder="1" applyAlignment="1" applyProtection="1">
      <alignment vertical="center"/>
    </xf>
    <xf numFmtId="0" fontId="10" fillId="0" borderId="157" xfId="0" applyFont="1" applyFill="1" applyBorder="1" applyAlignment="1" applyProtection="1">
      <alignment vertical="center"/>
    </xf>
    <xf numFmtId="168" fontId="31" fillId="0" borderId="152" xfId="0" applyNumberFormat="1" applyFont="1" applyFill="1" applyBorder="1" applyAlignment="1" applyProtection="1">
      <alignment vertical="center" shrinkToFit="1"/>
    </xf>
    <xf numFmtId="0" fontId="10" fillId="0" borderId="38" xfId="0" applyFont="1" applyFill="1" applyBorder="1" applyAlignment="1" applyProtection="1">
      <alignment vertical="center"/>
    </xf>
    <xf numFmtId="168" fontId="31" fillId="0" borderId="158" xfId="0" applyNumberFormat="1" applyFont="1" applyFill="1" applyBorder="1" applyAlignment="1" applyProtection="1">
      <alignment vertical="center" shrinkToFit="1"/>
    </xf>
    <xf numFmtId="168" fontId="31" fillId="0" borderId="101" xfId="0" applyNumberFormat="1" applyFont="1" applyFill="1" applyBorder="1" applyAlignment="1" applyProtection="1">
      <alignment vertical="center" shrinkToFit="1"/>
    </xf>
    <xf numFmtId="0" fontId="10" fillId="0" borderId="23" xfId="0" applyFont="1" applyFill="1" applyBorder="1" applyAlignment="1" applyProtection="1">
      <alignment vertical="center"/>
    </xf>
    <xf numFmtId="168" fontId="31" fillId="0" borderId="23" xfId="0" applyNumberFormat="1" applyFont="1" applyFill="1" applyBorder="1" applyAlignment="1" applyProtection="1">
      <alignment vertical="center" shrinkToFit="1"/>
    </xf>
    <xf numFmtId="168" fontId="32" fillId="2" borderId="23" xfId="0" applyNumberFormat="1" applyFont="1" applyFill="1" applyBorder="1" applyAlignment="1" applyProtection="1">
      <alignment vertical="center" shrinkToFit="1"/>
    </xf>
    <xf numFmtId="168" fontId="31" fillId="0" borderId="114" xfId="0" applyNumberFormat="1" applyFont="1" applyFill="1" applyBorder="1" applyAlignment="1" applyProtection="1">
      <alignment vertical="center" shrinkToFit="1"/>
    </xf>
    <xf numFmtId="0" fontId="40" fillId="0" borderId="0" xfId="0" applyFont="1" applyFill="1" applyBorder="1" applyAlignment="1" applyProtection="1">
      <alignment vertical="center"/>
      <protection locked="0"/>
    </xf>
    <xf numFmtId="168" fontId="13" fillId="0" borderId="42" xfId="0" applyNumberFormat="1" applyFont="1" applyFill="1" applyBorder="1" applyAlignment="1" applyProtection="1">
      <alignment vertical="center" shrinkToFit="1"/>
    </xf>
    <xf numFmtId="168" fontId="31" fillId="0" borderId="159" xfId="0" applyNumberFormat="1" applyFont="1" applyFill="1" applyBorder="1" applyAlignment="1" applyProtection="1">
      <alignment vertical="center" shrinkToFit="1"/>
    </xf>
    <xf numFmtId="168" fontId="31" fillId="0" borderId="153" xfId="0" applyNumberFormat="1" applyFont="1" applyFill="1" applyBorder="1" applyAlignment="1" applyProtection="1">
      <alignment vertical="center" shrinkToFit="1"/>
      <protection locked="0"/>
    </xf>
    <xf numFmtId="168" fontId="31" fillId="0" borderId="160" xfId="0" applyNumberFormat="1" applyFont="1" applyFill="1" applyBorder="1" applyAlignment="1" applyProtection="1">
      <alignment vertical="center" shrinkToFit="1"/>
      <protection locked="0"/>
    </xf>
    <xf numFmtId="168" fontId="31" fillId="0" borderId="38" xfId="0" applyNumberFormat="1" applyFont="1" applyFill="1" applyBorder="1" applyAlignment="1" applyProtection="1">
      <alignment vertical="center" shrinkToFit="1"/>
    </xf>
    <xf numFmtId="168" fontId="31" fillId="0" borderId="137" xfId="0" applyNumberFormat="1" applyFont="1" applyFill="1" applyBorder="1" applyAlignment="1" applyProtection="1">
      <alignment vertical="center" shrinkToFit="1"/>
    </xf>
    <xf numFmtId="168" fontId="31" fillId="0" borderId="161" xfId="0" applyNumberFormat="1" applyFont="1" applyFill="1" applyBorder="1" applyAlignment="1" applyProtection="1">
      <alignment vertical="center" shrinkToFit="1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vertical="center"/>
      <protection locked="0"/>
    </xf>
    <xf numFmtId="168" fontId="31" fillId="0" borderId="163" xfId="0" applyNumberFormat="1" applyFont="1" applyFill="1" applyBorder="1" applyAlignment="1" applyProtection="1">
      <alignment vertical="center" shrinkToFit="1"/>
      <protection locked="0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vertical="center"/>
      <protection locked="0"/>
    </xf>
    <xf numFmtId="0" fontId="10" fillId="0" borderId="103" xfId="0" applyFont="1" applyFill="1" applyBorder="1" applyAlignment="1" applyProtection="1">
      <alignment vertical="center"/>
    </xf>
    <xf numFmtId="168" fontId="31" fillId="0" borderId="165" xfId="0" applyNumberFormat="1" applyFont="1" applyFill="1" applyBorder="1" applyAlignment="1" applyProtection="1">
      <alignment vertical="center" shrinkToFit="1"/>
    </xf>
    <xf numFmtId="0" fontId="10" fillId="0" borderId="19" xfId="0" applyFont="1" applyFill="1" applyBorder="1" applyAlignment="1" applyProtection="1">
      <alignment horizontal="center" vertical="center"/>
      <protection locked="0"/>
    </xf>
    <xf numFmtId="0" fontId="10" fillId="0" borderId="20" xfId="0" applyFont="1" applyFill="1" applyBorder="1" applyAlignment="1" applyProtection="1">
      <alignment vertical="center"/>
      <protection locked="0"/>
    </xf>
    <xf numFmtId="168" fontId="31" fillId="0" borderId="167" xfId="0" applyNumberFormat="1" applyFont="1" applyFill="1" applyBorder="1" applyAlignment="1" applyProtection="1">
      <alignment vertical="center" shrinkToFit="1"/>
    </xf>
    <xf numFmtId="168" fontId="31" fillId="0" borderId="103" xfId="0" applyNumberFormat="1" applyFont="1" applyFill="1" applyBorder="1" applyAlignment="1" applyProtection="1">
      <alignment vertical="center" shrinkToFit="1"/>
    </xf>
    <xf numFmtId="168" fontId="32" fillId="2" borderId="103" xfId="0" applyNumberFormat="1" applyFont="1" applyFill="1" applyBorder="1" applyAlignment="1" applyProtection="1">
      <alignment vertical="center" shrinkToFit="1"/>
    </xf>
    <xf numFmtId="168" fontId="31" fillId="0" borderId="113" xfId="0" applyNumberFormat="1" applyFont="1" applyFill="1" applyBorder="1" applyAlignment="1" applyProtection="1">
      <alignment vertical="center" shrinkToFit="1"/>
    </xf>
    <xf numFmtId="168" fontId="31" fillId="0" borderId="87" xfId="0" applyNumberFormat="1" applyFont="1" applyFill="1" applyBorder="1" applyAlignment="1" applyProtection="1">
      <alignment vertical="center" shrinkToFit="1"/>
    </xf>
    <xf numFmtId="168" fontId="31" fillId="0" borderId="77" xfId="0" applyNumberFormat="1" applyFont="1" applyFill="1" applyBorder="1" applyAlignment="1" applyProtection="1">
      <alignment vertical="center" shrinkToFit="1"/>
    </xf>
    <xf numFmtId="168" fontId="37" fillId="0" borderId="168" xfId="0" applyNumberFormat="1" applyFont="1" applyFill="1" applyBorder="1" applyAlignment="1" applyProtection="1">
      <alignment vertical="center" shrinkToFit="1"/>
    </xf>
    <xf numFmtId="168" fontId="37" fillId="0" borderId="169" xfId="0" applyNumberFormat="1" applyFont="1" applyFill="1" applyBorder="1" applyAlignment="1" applyProtection="1">
      <alignment vertical="center" shrinkToFit="1"/>
    </xf>
    <xf numFmtId="164" fontId="21" fillId="4" borderId="0" xfId="2" applyFont="1" applyFill="1" applyAlignment="1" applyProtection="1">
      <alignment horizontal="left"/>
    </xf>
    <xf numFmtId="164" fontId="43" fillId="4" borderId="0" xfId="2" applyFont="1" applyFill="1" applyAlignment="1" applyProtection="1">
      <alignment horizontal="center" wrapText="1"/>
    </xf>
    <xf numFmtId="0" fontId="22" fillId="0" borderId="147" xfId="0" applyFont="1" applyFill="1" applyBorder="1" applyAlignment="1" applyProtection="1">
      <alignment horizontal="centerContinuous" vertical="center"/>
    </xf>
    <xf numFmtId="164" fontId="39" fillId="4" borderId="0" xfId="2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horizontal="centerContinuous" vertical="center"/>
    </xf>
    <xf numFmtId="0" fontId="26" fillId="0" borderId="0" xfId="0" applyFont="1" applyFill="1" applyBorder="1" applyAlignment="1" applyProtection="1">
      <alignment horizontal="center" vertical="center"/>
    </xf>
    <xf numFmtId="167" fontId="13" fillId="2" borderId="0" xfId="2" applyNumberFormat="1" applyFont="1" applyFill="1" applyBorder="1" applyAlignment="1" applyProtection="1">
      <alignment horizontal="center" vertical="center"/>
    </xf>
    <xf numFmtId="164" fontId="7" fillId="0" borderId="7" xfId="1" applyFont="1" applyFill="1" applyBorder="1" applyAlignment="1" applyProtection="1">
      <alignment vertical="center"/>
    </xf>
    <xf numFmtId="164" fontId="7" fillId="0" borderId="5" xfId="1" applyFont="1" applyFill="1" applyBorder="1" applyAlignment="1" applyProtection="1">
      <alignment vertical="center"/>
    </xf>
    <xf numFmtId="164" fontId="37" fillId="0" borderId="170" xfId="1" applyFont="1" applyBorder="1" applyAlignment="1" applyProtection="1">
      <alignment horizontal="left" vertical="center" wrapText="1"/>
    </xf>
    <xf numFmtId="164" fontId="7" fillId="0" borderId="31" xfId="1" applyFont="1" applyFill="1" applyBorder="1" applyAlignment="1" applyProtection="1">
      <alignment vertical="center"/>
    </xf>
    <xf numFmtId="164" fontId="8" fillId="0" borderId="10" xfId="1" applyFont="1" applyBorder="1" applyAlignment="1" applyProtection="1">
      <alignment vertical="center"/>
    </xf>
    <xf numFmtId="164" fontId="7" fillId="0" borderId="16" xfId="1" applyFont="1" applyFill="1" applyBorder="1" applyAlignment="1" applyProtection="1">
      <alignment vertical="center"/>
    </xf>
    <xf numFmtId="164" fontId="7" fillId="0" borderId="26" xfId="1" applyFont="1" applyFill="1" applyBorder="1" applyAlignment="1" applyProtection="1">
      <alignment vertical="center"/>
    </xf>
    <xf numFmtId="0" fontId="8" fillId="0" borderId="171" xfId="0" applyNumberFormat="1" applyFont="1" applyBorder="1" applyAlignment="1" applyProtection="1">
      <alignment horizontal="left" vertical="center"/>
    </xf>
    <xf numFmtId="164" fontId="47" fillId="0" borderId="0" xfId="2" applyFont="1" applyBorder="1" applyAlignment="1" applyProtection="1">
      <alignment vertical="center"/>
    </xf>
    <xf numFmtId="164" fontId="7" fillId="0" borderId="0" xfId="1" applyFont="1" applyFill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9" fillId="0" borderId="172" xfId="0" applyFont="1" applyBorder="1" applyAlignment="1" applyProtection="1">
      <alignment horizontal="center" vertical="center"/>
    </xf>
    <xf numFmtId="0" fontId="9" fillId="0" borderId="173" xfId="0" applyFont="1" applyBorder="1" applyAlignment="1" applyProtection="1">
      <alignment horizontal="center" vertical="center"/>
    </xf>
    <xf numFmtId="0" fontId="9" fillId="0" borderId="174" xfId="0" applyFont="1" applyBorder="1" applyAlignment="1" applyProtection="1">
      <alignment horizontal="center" vertical="center"/>
    </xf>
    <xf numFmtId="0" fontId="9" fillId="0" borderId="175" xfId="0" applyFont="1" applyBorder="1" applyAlignment="1" applyProtection="1">
      <alignment horizontal="center" vertical="center" wrapText="1"/>
    </xf>
    <xf numFmtId="0" fontId="8" fillId="0" borderId="177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vertical="center"/>
      <protection locked="0"/>
    </xf>
    <xf numFmtId="0" fontId="8" fillId="0" borderId="12" xfId="3" applyFont="1" applyFill="1" applyBorder="1" applyAlignment="1" applyProtection="1">
      <alignment vertical="center"/>
      <protection locked="0"/>
    </xf>
    <xf numFmtId="169" fontId="8" fillId="0" borderId="0" xfId="0" applyNumberFormat="1" applyFont="1" applyBorder="1" applyAlignment="1" applyProtection="1">
      <alignment vertical="center"/>
      <protection locked="0"/>
    </xf>
    <xf numFmtId="169" fontId="8" fillId="0" borderId="0" xfId="0" applyNumberFormat="1" applyFont="1" applyBorder="1" applyAlignment="1" applyProtection="1">
      <alignment vertical="center"/>
    </xf>
    <xf numFmtId="0" fontId="49" fillId="0" borderId="177" xfId="0" applyFont="1" applyFill="1" applyBorder="1" applyAlignment="1" applyProtection="1">
      <alignment horizontal="center" vertical="center"/>
    </xf>
    <xf numFmtId="0" fontId="8" fillId="0" borderId="31" xfId="0" applyFont="1" applyFill="1" applyBorder="1" applyAlignment="1" applyProtection="1">
      <alignment vertical="center"/>
    </xf>
    <xf numFmtId="4" fontId="8" fillId="0" borderId="154" xfId="4" applyNumberFormat="1" applyFont="1" applyFill="1" applyBorder="1" applyAlignment="1" applyProtection="1">
      <alignment vertical="center"/>
    </xf>
    <xf numFmtId="0" fontId="8" fillId="0" borderId="14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  <protection locked="0"/>
    </xf>
    <xf numFmtId="3" fontId="8" fillId="0" borderId="0" xfId="0" applyNumberFormat="1" applyFont="1" applyFill="1" applyBorder="1" applyAlignment="1" applyProtection="1">
      <alignment vertical="center"/>
    </xf>
    <xf numFmtId="169" fontId="8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</xf>
    <xf numFmtId="0" fontId="9" fillId="0" borderId="28" xfId="0" applyFont="1" applyFill="1" applyBorder="1" applyAlignment="1" applyProtection="1">
      <alignment vertical="center"/>
    </xf>
    <xf numFmtId="0" fontId="8" fillId="0" borderId="127" xfId="0" applyFont="1" applyFill="1" applyBorder="1" applyAlignment="1" applyProtection="1">
      <alignment vertical="center"/>
    </xf>
    <xf numFmtId="168" fontId="13" fillId="7" borderId="98" xfId="0" applyNumberFormat="1" applyFont="1" applyFill="1" applyBorder="1" applyAlignment="1" applyProtection="1">
      <alignment vertical="center" shrinkToFit="1"/>
    </xf>
    <xf numFmtId="168" fontId="13" fillId="7" borderId="102" xfId="0" applyNumberFormat="1" applyFont="1" applyFill="1" applyBorder="1" applyAlignment="1" applyProtection="1">
      <alignment vertical="center" shrinkToFit="1"/>
    </xf>
    <xf numFmtId="168" fontId="13" fillId="7" borderId="77" xfId="0" applyNumberFormat="1" applyFont="1" applyFill="1" applyBorder="1" applyAlignment="1" applyProtection="1">
      <alignment vertical="center" shrinkToFit="1"/>
    </xf>
    <xf numFmtId="168" fontId="31" fillId="7" borderId="109" xfId="0" applyNumberFormat="1" applyFont="1" applyFill="1" applyBorder="1" applyAlignment="1" applyProtection="1">
      <alignment vertical="center" shrinkToFit="1"/>
    </xf>
    <xf numFmtId="168" fontId="31" fillId="7" borderId="98" xfId="0" applyNumberFormat="1" applyFont="1" applyFill="1" applyBorder="1" applyAlignment="1" applyProtection="1">
      <alignment vertical="center" shrinkToFit="1"/>
    </xf>
    <xf numFmtId="164" fontId="26" fillId="0" borderId="32" xfId="0" applyNumberFormat="1" applyFont="1" applyFill="1" applyBorder="1" applyAlignment="1" applyProtection="1">
      <alignment horizontal="left" vertical="center"/>
    </xf>
    <xf numFmtId="0" fontId="13" fillId="7" borderId="39" xfId="0" applyFont="1" applyFill="1" applyBorder="1" applyAlignment="1" applyProtection="1">
      <alignment vertical="center"/>
      <protection locked="0"/>
    </xf>
    <xf numFmtId="0" fontId="13" fillId="7" borderId="38" xfId="0" applyFont="1" applyFill="1" applyBorder="1" applyAlignment="1" applyProtection="1">
      <alignment vertical="center"/>
      <protection locked="0"/>
    </xf>
    <xf numFmtId="165" fontId="14" fillId="7" borderId="40" xfId="1" applyNumberFormat="1" applyFont="1" applyFill="1" applyBorder="1" applyAlignment="1" applyProtection="1">
      <alignment horizontal="center" vertical="center"/>
      <protection locked="0"/>
    </xf>
    <xf numFmtId="0" fontId="13" fillId="7" borderId="45" xfId="0" applyFont="1" applyFill="1" applyBorder="1" applyAlignment="1" applyProtection="1">
      <alignment vertical="center"/>
    </xf>
    <xf numFmtId="0" fontId="13" fillId="7" borderId="44" xfId="0" applyFont="1" applyFill="1" applyBorder="1" applyAlignment="1" applyProtection="1">
      <alignment vertical="center"/>
    </xf>
    <xf numFmtId="165" fontId="14" fillId="7" borderId="46" xfId="1" applyNumberFormat="1" applyFont="1" applyFill="1" applyBorder="1" applyAlignment="1" applyProtection="1">
      <alignment horizontal="center" vertical="center"/>
    </xf>
    <xf numFmtId="0" fontId="13" fillId="7" borderId="51" xfId="0" applyFont="1" applyFill="1" applyBorder="1" applyAlignment="1" applyProtection="1">
      <alignment vertical="center"/>
      <protection locked="0"/>
    </xf>
    <xf numFmtId="0" fontId="13" fillId="7" borderId="50" xfId="0" applyFont="1" applyFill="1" applyBorder="1" applyAlignment="1" applyProtection="1">
      <alignment vertical="center"/>
      <protection locked="0"/>
    </xf>
    <xf numFmtId="165" fontId="14" fillId="7" borderId="52" xfId="1" applyNumberFormat="1" applyFont="1" applyFill="1" applyBorder="1" applyAlignment="1" applyProtection="1">
      <alignment horizontal="center" vertical="center"/>
    </xf>
    <xf numFmtId="168" fontId="13" fillId="7" borderId="75" xfId="0" applyNumberFormat="1" applyFont="1" applyFill="1" applyBorder="1" applyAlignment="1" applyProtection="1">
      <alignment vertical="center" shrinkToFit="1"/>
    </xf>
    <xf numFmtId="168" fontId="13" fillId="7" borderId="126" xfId="0" applyNumberFormat="1" applyFont="1" applyFill="1" applyBorder="1" applyAlignment="1" applyProtection="1">
      <alignment vertical="center" shrinkToFit="1"/>
    </xf>
    <xf numFmtId="164" fontId="21" fillId="7" borderId="0" xfId="2" applyFont="1" applyFill="1" applyProtection="1"/>
    <xf numFmtId="168" fontId="13" fillId="7" borderId="110" xfId="0" applyNumberFormat="1" applyFont="1" applyFill="1" applyBorder="1" applyAlignment="1" applyProtection="1">
      <alignment vertical="center" shrinkToFit="1"/>
    </xf>
    <xf numFmtId="168" fontId="13" fillId="7" borderId="10" xfId="0" applyNumberFormat="1" applyFont="1" applyFill="1" applyBorder="1" applyAlignment="1" applyProtection="1">
      <alignment vertical="center" shrinkToFit="1"/>
    </xf>
    <xf numFmtId="168" fontId="31" fillId="7" borderId="136" xfId="0" applyNumberFormat="1" applyFont="1" applyFill="1" applyBorder="1" applyAlignment="1" applyProtection="1">
      <alignment vertical="center" shrinkToFit="1"/>
    </xf>
    <xf numFmtId="168" fontId="13" fillId="0" borderId="98" xfId="0" applyNumberFormat="1" applyFont="1" applyFill="1" applyBorder="1" applyAlignment="1" applyProtection="1">
      <alignment vertical="center" shrinkToFit="1"/>
    </xf>
    <xf numFmtId="168" fontId="13" fillId="0" borderId="77" xfId="0" applyNumberFormat="1" applyFont="1" applyFill="1" applyBorder="1" applyAlignment="1" applyProtection="1">
      <alignment vertical="center" shrinkToFit="1"/>
    </xf>
    <xf numFmtId="168" fontId="13" fillId="0" borderId="110" xfId="0" applyNumberFormat="1" applyFont="1" applyFill="1" applyBorder="1" applyAlignment="1" applyProtection="1">
      <alignment vertical="center" shrinkToFit="1"/>
    </xf>
    <xf numFmtId="168" fontId="31" fillId="0" borderId="98" xfId="0" applyNumberFormat="1" applyFont="1" applyFill="1" applyBorder="1" applyAlignment="1" applyProtection="1">
      <alignment vertical="center" shrinkToFit="1"/>
    </xf>
    <xf numFmtId="168" fontId="13" fillId="0" borderId="126" xfId="0" applyNumberFormat="1" applyFont="1" applyFill="1" applyBorder="1" applyAlignment="1" applyProtection="1">
      <alignment vertical="center" shrinkToFit="1"/>
    </xf>
    <xf numFmtId="168" fontId="31" fillId="0" borderId="136" xfId="0" applyNumberFormat="1" applyFont="1" applyFill="1" applyBorder="1" applyAlignment="1" applyProtection="1">
      <alignment vertical="center" shrinkToFit="1"/>
    </xf>
    <xf numFmtId="168" fontId="31" fillId="3" borderId="110" xfId="0" applyNumberFormat="1" applyFont="1" applyFill="1" applyBorder="1" applyAlignment="1" applyProtection="1">
      <alignment vertical="center" shrinkToFit="1"/>
      <protection locked="0"/>
    </xf>
    <xf numFmtId="168" fontId="31" fillId="3" borderId="106" xfId="0" applyNumberFormat="1" applyFont="1" applyFill="1" applyBorder="1" applyAlignment="1" applyProtection="1">
      <alignment vertical="center" shrinkToFit="1"/>
      <protection locked="0"/>
    </xf>
    <xf numFmtId="168" fontId="13" fillId="7" borderId="60" xfId="0" applyNumberFormat="1" applyFont="1" applyFill="1" applyBorder="1" applyAlignment="1" applyProtection="1">
      <alignment vertical="center" shrinkToFit="1"/>
    </xf>
    <xf numFmtId="168" fontId="13" fillId="7" borderId="20" xfId="0" applyNumberFormat="1" applyFont="1" applyFill="1" applyBorder="1" applyAlignment="1" applyProtection="1">
      <alignment vertical="center" shrinkToFit="1"/>
    </xf>
    <xf numFmtId="1" fontId="26" fillId="7" borderId="48" xfId="0" applyNumberFormat="1" applyFont="1" applyFill="1" applyBorder="1" applyAlignment="1" applyProtection="1">
      <alignment vertical="center"/>
    </xf>
    <xf numFmtId="0" fontId="26" fillId="7" borderId="32" xfId="0" applyNumberFormat="1" applyFont="1" applyFill="1" applyBorder="1" applyAlignment="1" applyProtection="1">
      <alignment horizontal="left" vertical="center"/>
    </xf>
    <xf numFmtId="168" fontId="6" fillId="0" borderId="29" xfId="0" applyNumberFormat="1" applyFont="1" applyFill="1" applyBorder="1" applyAlignment="1" applyProtection="1">
      <alignment vertical="center"/>
    </xf>
    <xf numFmtId="168" fontId="8" fillId="0" borderId="154" xfId="4" applyNumberFormat="1" applyFont="1" applyFill="1" applyBorder="1" applyAlignment="1" applyProtection="1">
      <alignment vertical="center"/>
      <protection locked="0"/>
    </xf>
    <xf numFmtId="0" fontId="8" fillId="0" borderId="177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vertical="center"/>
      <protection locked="0"/>
    </xf>
    <xf numFmtId="0" fontId="8" fillId="0" borderId="12" xfId="3" applyFont="1" applyFill="1" applyBorder="1" applyAlignment="1" applyProtection="1">
      <alignment vertical="center"/>
      <protection locked="0"/>
    </xf>
    <xf numFmtId="0" fontId="49" fillId="0" borderId="177" xfId="0" applyFont="1" applyFill="1" applyBorder="1" applyAlignment="1" applyProtection="1">
      <alignment horizontal="center" vertical="center"/>
    </xf>
    <xf numFmtId="4" fontId="8" fillId="0" borderId="154" xfId="4" applyNumberFormat="1" applyFont="1" applyFill="1" applyBorder="1" applyAlignment="1" applyProtection="1">
      <alignment vertical="center"/>
    </xf>
    <xf numFmtId="0" fontId="8" fillId="0" borderId="14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  <protection locked="0"/>
    </xf>
    <xf numFmtId="169" fontId="8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</xf>
    <xf numFmtId="0" fontId="49" fillId="0" borderId="166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/>
    </xf>
    <xf numFmtId="4" fontId="8" fillId="0" borderId="171" xfId="4" applyNumberFormat="1" applyFont="1" applyFill="1" applyBorder="1" applyAlignment="1" applyProtection="1">
      <alignment vertical="center"/>
    </xf>
    <xf numFmtId="164" fontId="14" fillId="0" borderId="13" xfId="1" applyFont="1" applyFill="1" applyBorder="1" applyAlignment="1" applyProtection="1">
      <alignment horizontal="left" vertical="center"/>
      <protection locked="0"/>
    </xf>
    <xf numFmtId="164" fontId="14" fillId="0" borderId="14" xfId="1" applyFont="1" applyFill="1" applyBorder="1" applyAlignment="1" applyProtection="1">
      <alignment horizontal="left" vertical="center"/>
      <protection locked="0"/>
    </xf>
    <xf numFmtId="164" fontId="14" fillId="0" borderId="33" xfId="1" applyFont="1" applyFill="1" applyBorder="1" applyAlignment="1" applyProtection="1">
      <alignment horizontal="left" vertical="center"/>
      <protection locked="0"/>
    </xf>
    <xf numFmtId="164" fontId="14" fillId="0" borderId="13" xfId="1" applyFont="1" applyFill="1" applyBorder="1" applyAlignment="1" applyProtection="1">
      <alignment horizontal="left" vertical="center"/>
      <protection locked="0"/>
    </xf>
    <xf numFmtId="164" fontId="14" fillId="0" borderId="14" xfId="1" applyFont="1" applyFill="1" applyBorder="1" applyAlignment="1" applyProtection="1">
      <alignment horizontal="left" vertical="center"/>
      <protection locked="0"/>
    </xf>
    <xf numFmtId="164" fontId="14" fillId="0" borderId="33" xfId="1" applyFont="1" applyFill="1" applyBorder="1" applyAlignment="1" applyProtection="1">
      <alignment horizontal="left" vertical="center"/>
      <protection locked="0"/>
    </xf>
    <xf numFmtId="168" fontId="0" fillId="0" borderId="0" xfId="0" applyNumberFormat="1"/>
    <xf numFmtId="170" fontId="0" fillId="0" borderId="0" xfId="0" applyNumberFormat="1"/>
    <xf numFmtId="0" fontId="50" fillId="0" borderId="13" xfId="0" applyFont="1" applyBorder="1"/>
    <xf numFmtId="164" fontId="14" fillId="0" borderId="13" xfId="1" applyFont="1" applyFill="1" applyBorder="1" applyAlignment="1" applyProtection="1">
      <alignment horizontal="left" vertical="center"/>
      <protection locked="0"/>
    </xf>
    <xf numFmtId="164" fontId="14" fillId="0" borderId="14" xfId="1" applyFont="1" applyFill="1" applyBorder="1" applyAlignment="1" applyProtection="1">
      <alignment horizontal="left" vertical="center"/>
      <protection locked="0"/>
    </xf>
    <xf numFmtId="164" fontId="14" fillId="0" borderId="33" xfId="1" applyFont="1" applyFill="1" applyBorder="1" applyAlignment="1" applyProtection="1">
      <alignment horizontal="left" vertical="center"/>
      <protection locked="0"/>
    </xf>
    <xf numFmtId="164" fontId="7" fillId="0" borderId="11" xfId="1" applyFont="1" applyFill="1" applyBorder="1" applyAlignment="1" applyProtection="1">
      <alignment vertical="center"/>
    </xf>
    <xf numFmtId="0" fontId="8" fillId="0" borderId="12" xfId="0" applyFont="1" applyBorder="1" applyAlignment="1" applyProtection="1">
      <alignment vertical="center"/>
    </xf>
    <xf numFmtId="164" fontId="8" fillId="0" borderId="13" xfId="1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164" fontId="7" fillId="0" borderId="16" xfId="1" applyFont="1" applyFill="1" applyBorder="1" applyAlignment="1" applyProtection="1">
      <alignment vertical="center"/>
    </xf>
    <xf numFmtId="0" fontId="8" fillId="0" borderId="17" xfId="0" applyFont="1" applyBorder="1" applyAlignment="1" applyProtection="1">
      <alignment vertical="center"/>
    </xf>
    <xf numFmtId="164" fontId="8" fillId="0" borderId="18" xfId="1" applyFont="1" applyBorder="1" applyAlignment="1" applyProtection="1">
      <alignment horizontal="left" vertical="center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horizontal="left" vertical="center"/>
    </xf>
    <xf numFmtId="164" fontId="12" fillId="0" borderId="23" xfId="1" applyFont="1" applyFill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49" fontId="10" fillId="0" borderId="25" xfId="1" applyNumberFormat="1" applyFont="1" applyFill="1" applyBorder="1" applyAlignment="1" applyProtection="1">
      <alignment vertical="center"/>
    </xf>
    <xf numFmtId="49" fontId="8" fillId="0" borderId="26" xfId="0" applyNumberFormat="1" applyFont="1" applyBorder="1" applyAlignment="1" applyProtection="1">
      <alignment vertical="center"/>
    </xf>
    <xf numFmtId="49" fontId="8" fillId="0" borderId="27" xfId="0" applyNumberFormat="1" applyFont="1" applyBorder="1" applyAlignment="1" applyProtection="1">
      <alignment vertical="center"/>
    </xf>
    <xf numFmtId="165" fontId="14" fillId="7" borderId="49" xfId="1" applyNumberFormat="1" applyFont="1" applyFill="1" applyBorder="1" applyAlignment="1" applyProtection="1">
      <alignment horizontal="center" vertical="center"/>
      <protection locked="0"/>
    </xf>
    <xf numFmtId="165" fontId="14" fillId="7" borderId="50" xfId="1" applyNumberFormat="1" applyFont="1" applyFill="1" applyBorder="1" applyAlignment="1" applyProtection="1">
      <alignment horizontal="center" vertical="center"/>
      <protection locked="0"/>
    </xf>
    <xf numFmtId="164" fontId="14" fillId="0" borderId="13" xfId="1" applyFont="1" applyFill="1" applyBorder="1" applyAlignment="1" applyProtection="1">
      <alignment horizontal="center" vertical="center"/>
      <protection locked="0"/>
    </xf>
    <xf numFmtId="164" fontId="14" fillId="0" borderId="33" xfId="1" applyFont="1" applyFill="1" applyBorder="1" applyAlignment="1" applyProtection="1">
      <alignment horizontal="center" vertical="center"/>
      <protection locked="0"/>
    </xf>
    <xf numFmtId="3" fontId="13" fillId="0" borderId="12" xfId="1" applyNumberFormat="1" applyFont="1" applyFill="1" applyBorder="1" applyAlignment="1" applyProtection="1">
      <alignment horizontal="center" vertical="center"/>
      <protection locked="0"/>
    </xf>
    <xf numFmtId="3" fontId="13" fillId="0" borderId="12" xfId="0" applyNumberFormat="1" applyFont="1" applyFill="1" applyBorder="1" applyAlignment="1" applyProtection="1">
      <alignment horizontal="center" vertical="center"/>
      <protection locked="0"/>
    </xf>
    <xf numFmtId="3" fontId="13" fillId="0" borderId="67" xfId="0" applyNumberFormat="1" applyFont="1" applyFill="1" applyBorder="1" applyAlignment="1" applyProtection="1">
      <alignment horizontal="center" vertical="center"/>
      <protection locked="0"/>
    </xf>
    <xf numFmtId="164" fontId="13" fillId="0" borderId="12" xfId="1" applyFont="1" applyFill="1" applyBorder="1" applyAlignment="1" applyProtection="1">
      <alignment horizontal="center" vertical="center"/>
      <protection locked="0"/>
    </xf>
    <xf numFmtId="0" fontId="13" fillId="0" borderId="12" xfId="0" applyFont="1" applyFill="1" applyBorder="1" applyAlignment="1" applyProtection="1">
      <alignment horizontal="center" vertical="center"/>
      <protection locked="0"/>
    </xf>
    <xf numFmtId="0" fontId="13" fillId="0" borderId="67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4" fillId="0" borderId="1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164" fontId="7" fillId="0" borderId="7" xfId="1" applyFont="1" applyFill="1" applyBorder="1" applyAlignment="1" applyProtection="1">
      <alignment vertical="center"/>
    </xf>
    <xf numFmtId="0" fontId="8" fillId="0" borderId="8" xfId="0" applyFont="1" applyBorder="1" applyAlignment="1" applyProtection="1">
      <alignment vertical="center"/>
    </xf>
    <xf numFmtId="164" fontId="9" fillId="0" borderId="9" xfId="1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164" fontId="7" fillId="0" borderId="52" xfId="1" applyFont="1" applyFill="1" applyBorder="1" applyAlignment="1" applyProtection="1">
      <alignment vertical="center"/>
      <protection locked="0"/>
    </xf>
    <xf numFmtId="0" fontId="8" fillId="0" borderId="52" xfId="0" applyFont="1" applyBorder="1" applyAlignment="1" applyProtection="1">
      <alignment vertical="center"/>
      <protection locked="0"/>
    </xf>
    <xf numFmtId="0" fontId="8" fillId="0" borderId="53" xfId="0" applyFont="1" applyBorder="1" applyAlignment="1" applyProtection="1">
      <alignment vertical="center"/>
      <protection locked="0"/>
    </xf>
    <xf numFmtId="164" fontId="13" fillId="0" borderId="55" xfId="1" applyFont="1" applyBorder="1" applyAlignment="1" applyProtection="1">
      <alignment horizontal="left" vertical="center"/>
    </xf>
    <xf numFmtId="164" fontId="13" fillId="0" borderId="56" xfId="1" applyFont="1" applyBorder="1" applyAlignment="1" applyProtection="1">
      <alignment horizontal="left" vertical="center"/>
    </xf>
    <xf numFmtId="164" fontId="13" fillId="0" borderId="57" xfId="1" applyFont="1" applyBorder="1" applyAlignment="1" applyProtection="1">
      <alignment horizontal="left" vertical="center"/>
    </xf>
    <xf numFmtId="164" fontId="12" fillId="0" borderId="55" xfId="1" applyFont="1" applyFill="1" applyBorder="1" applyAlignment="1" applyProtection="1">
      <alignment horizontal="center" vertical="center"/>
    </xf>
    <xf numFmtId="164" fontId="12" fillId="0" borderId="57" xfId="1" applyFont="1" applyFill="1" applyBorder="1" applyAlignment="1" applyProtection="1">
      <alignment horizontal="center" vertical="center"/>
    </xf>
    <xf numFmtId="164" fontId="10" fillId="0" borderId="28" xfId="1" applyFont="1" applyFill="1" applyBorder="1" applyAlignment="1" applyProtection="1">
      <alignment vertical="center"/>
    </xf>
    <xf numFmtId="0" fontId="8" fillId="0" borderId="29" xfId="0" applyFont="1" applyBorder="1" applyAlignment="1" applyProtection="1">
      <alignment vertical="center"/>
    </xf>
    <xf numFmtId="1" fontId="14" fillId="7" borderId="37" xfId="1" applyNumberFormat="1" applyFont="1" applyFill="1" applyBorder="1" applyAlignment="1" applyProtection="1">
      <alignment horizontal="center" vertical="center"/>
      <protection locked="0"/>
    </xf>
    <xf numFmtId="1" fontId="14" fillId="7" borderId="38" xfId="1" applyNumberFormat="1" applyFont="1" applyFill="1" applyBorder="1" applyAlignment="1" applyProtection="1">
      <alignment horizontal="center" vertical="center"/>
      <protection locked="0"/>
    </xf>
    <xf numFmtId="164" fontId="7" fillId="0" borderId="41" xfId="1" applyFont="1" applyFill="1" applyBorder="1" applyAlignment="1" applyProtection="1">
      <alignment vertical="center"/>
      <protection locked="0"/>
    </xf>
    <xf numFmtId="0" fontId="8" fillId="0" borderId="41" xfId="0" applyFont="1" applyBorder="1" applyAlignment="1" applyProtection="1">
      <alignment vertical="center"/>
      <protection locked="0"/>
    </xf>
    <xf numFmtId="0" fontId="8" fillId="0" borderId="42" xfId="0" applyFont="1" applyBorder="1" applyAlignment="1" applyProtection="1">
      <alignment vertical="center"/>
      <protection locked="0"/>
    </xf>
    <xf numFmtId="165" fontId="14" fillId="7" borderId="43" xfId="1" applyNumberFormat="1" applyFont="1" applyFill="1" applyBorder="1" applyAlignment="1" applyProtection="1">
      <alignment horizontal="center" vertical="center"/>
    </xf>
    <xf numFmtId="165" fontId="14" fillId="7" borderId="44" xfId="1" applyNumberFormat="1" applyFont="1" applyFill="1" applyBorder="1" applyAlignment="1" applyProtection="1">
      <alignment horizontal="center" vertical="center"/>
    </xf>
    <xf numFmtId="164" fontId="7" fillId="0" borderId="46" xfId="1" applyFont="1" applyFill="1" applyBorder="1" applyAlignment="1" applyProtection="1">
      <alignment vertical="center"/>
    </xf>
    <xf numFmtId="0" fontId="8" fillId="0" borderId="46" xfId="0" applyFont="1" applyBorder="1" applyAlignment="1" applyProtection="1">
      <alignment vertical="center"/>
    </xf>
    <xf numFmtId="0" fontId="8" fillId="0" borderId="47" xfId="0" applyFont="1" applyBorder="1" applyAlignment="1" applyProtection="1">
      <alignment vertical="center"/>
    </xf>
    <xf numFmtId="164" fontId="14" fillId="0" borderId="13" xfId="1" applyFont="1" applyFill="1" applyBorder="1" applyAlignment="1" applyProtection="1">
      <alignment horizontal="center" vertical="center"/>
    </xf>
    <xf numFmtId="164" fontId="14" fillId="0" borderId="33" xfId="1" applyFont="1" applyFill="1" applyBorder="1" applyAlignment="1" applyProtection="1">
      <alignment horizontal="center" vertical="center"/>
    </xf>
    <xf numFmtId="164" fontId="13" fillId="0" borderId="13" xfId="1" applyFont="1" applyFill="1" applyBorder="1" applyAlignment="1" applyProtection="1">
      <alignment horizontal="center" vertical="center"/>
      <protection locked="0"/>
    </xf>
    <xf numFmtId="164" fontId="13" fillId="0" borderId="14" xfId="1" applyFont="1" applyFill="1" applyBorder="1" applyAlignment="1" applyProtection="1">
      <alignment horizontal="center" vertical="center"/>
      <protection locked="0"/>
    </xf>
    <xf numFmtId="164" fontId="13" fillId="0" borderId="15" xfId="1" applyFont="1" applyFill="1" applyBorder="1" applyAlignment="1" applyProtection="1">
      <alignment horizontal="center" vertical="center"/>
      <protection locked="0"/>
    </xf>
    <xf numFmtId="164" fontId="12" fillId="0" borderId="30" xfId="1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10" xfId="0" applyFont="1" applyBorder="1" applyAlignment="1" applyProtection="1">
      <alignment vertical="center"/>
      <protection locked="0"/>
    </xf>
    <xf numFmtId="0" fontId="8" fillId="0" borderId="30" xfId="0" applyFont="1" applyBorder="1" applyAlignment="1" applyProtection="1">
      <alignment vertical="center"/>
      <protection locked="0"/>
    </xf>
    <xf numFmtId="0" fontId="8" fillId="0" borderId="25" xfId="0" applyFont="1" applyBorder="1" applyAlignment="1" applyProtection="1">
      <alignment vertical="center"/>
      <protection locked="0"/>
    </xf>
    <xf numFmtId="0" fontId="8" fillId="0" borderId="26" xfId="0" applyFont="1" applyBorder="1" applyAlignment="1" applyProtection="1">
      <alignment vertical="center"/>
      <protection locked="0"/>
    </xf>
    <xf numFmtId="0" fontId="8" fillId="0" borderId="27" xfId="0" applyFont="1" applyBorder="1" applyAlignment="1" applyProtection="1">
      <alignment vertical="center"/>
      <protection locked="0"/>
    </xf>
    <xf numFmtId="164" fontId="14" fillId="0" borderId="62" xfId="1" applyFont="1" applyFill="1" applyBorder="1" applyAlignment="1" applyProtection="1">
      <alignment horizontal="left" vertical="center"/>
      <protection locked="0"/>
    </xf>
    <xf numFmtId="164" fontId="14" fillId="0" borderId="63" xfId="1" applyFont="1" applyFill="1" applyBorder="1" applyAlignment="1" applyProtection="1">
      <alignment horizontal="left" vertical="center"/>
      <protection locked="0"/>
    </xf>
    <xf numFmtId="164" fontId="14" fillId="0" borderId="64" xfId="1" applyFont="1" applyFill="1" applyBorder="1" applyAlignment="1" applyProtection="1">
      <alignment horizontal="left" vertical="center"/>
      <protection locked="0"/>
    </xf>
    <xf numFmtId="164" fontId="14" fillId="0" borderId="62" xfId="1" applyFont="1" applyFill="1" applyBorder="1" applyAlignment="1" applyProtection="1">
      <alignment horizontal="center" vertical="center"/>
      <protection locked="0"/>
    </xf>
    <xf numFmtId="164" fontId="14" fillId="0" borderId="64" xfId="1" applyFont="1" applyFill="1" applyBorder="1" applyAlignment="1" applyProtection="1">
      <alignment horizontal="center" vertical="center"/>
      <protection locked="0"/>
    </xf>
    <xf numFmtId="164" fontId="13" fillId="0" borderId="62" xfId="1" applyFont="1" applyFill="1" applyBorder="1" applyAlignment="1" applyProtection="1">
      <alignment horizontal="center" vertical="center"/>
      <protection locked="0"/>
    </xf>
    <xf numFmtId="164" fontId="13" fillId="0" borderId="63" xfId="1" applyFont="1" applyFill="1" applyBorder="1" applyAlignment="1" applyProtection="1">
      <alignment horizontal="center" vertical="center"/>
      <protection locked="0"/>
    </xf>
    <xf numFmtId="164" fontId="13" fillId="0" borderId="65" xfId="1" applyFont="1" applyFill="1" applyBorder="1" applyAlignment="1" applyProtection="1">
      <alignment horizontal="center" vertical="center"/>
      <protection locked="0"/>
    </xf>
    <xf numFmtId="3" fontId="13" fillId="0" borderId="13" xfId="1" applyNumberFormat="1" applyFont="1" applyFill="1" applyBorder="1" applyAlignment="1" applyProtection="1">
      <alignment horizontal="center" vertical="center"/>
      <protection locked="0"/>
    </xf>
    <xf numFmtId="3" fontId="13" fillId="0" borderId="14" xfId="1" applyNumberFormat="1" applyFont="1" applyFill="1" applyBorder="1" applyAlignment="1" applyProtection="1">
      <alignment horizontal="center" vertical="center"/>
      <protection locked="0"/>
    </xf>
    <xf numFmtId="3" fontId="13" fillId="0" borderId="15" xfId="1" applyNumberFormat="1" applyFont="1" applyFill="1" applyBorder="1" applyAlignment="1" applyProtection="1">
      <alignment horizontal="center" vertical="center"/>
      <protection locked="0"/>
    </xf>
    <xf numFmtId="164" fontId="8" fillId="0" borderId="58" xfId="1" applyFont="1" applyBorder="1" applyAlignment="1" applyProtection="1">
      <alignment horizontal="left" vertical="center"/>
    </xf>
    <xf numFmtId="0" fontId="8" fillId="0" borderId="59" xfId="0" applyFont="1" applyBorder="1" applyAlignment="1" applyProtection="1">
      <alignment horizontal="left" vertical="center"/>
    </xf>
    <xf numFmtId="0" fontId="8" fillId="0" borderId="60" xfId="0" applyFont="1" applyBorder="1" applyAlignment="1" applyProtection="1">
      <alignment horizontal="left" vertical="center"/>
    </xf>
    <xf numFmtId="49" fontId="12" fillId="2" borderId="5" xfId="2" applyNumberFormat="1" applyFont="1" applyFill="1" applyBorder="1" applyAlignment="1" applyProtection="1">
      <alignment vertical="center"/>
    </xf>
    <xf numFmtId="49" fontId="15" fillId="0" borderId="6" xfId="0" applyNumberFormat="1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22" fillId="0" borderId="2" xfId="0" applyFont="1" applyFill="1" applyBorder="1" applyAlignment="1" applyProtection="1">
      <alignment horizontal="center" vertical="center"/>
    </xf>
    <xf numFmtId="0" fontId="22" fillId="0" borderId="73" xfId="0" applyFont="1" applyFill="1" applyBorder="1" applyAlignment="1" applyProtection="1">
      <alignment horizontal="center" vertical="center"/>
    </xf>
    <xf numFmtId="0" fontId="22" fillId="0" borderId="74" xfId="0" applyFont="1" applyFill="1" applyBorder="1" applyAlignment="1" applyProtection="1">
      <alignment horizontal="center" vertical="center"/>
    </xf>
    <xf numFmtId="0" fontId="23" fillId="0" borderId="3" xfId="0" applyFont="1" applyBorder="1" applyAlignment="1" applyProtection="1">
      <alignment horizontal="left" vertical="center"/>
    </xf>
    <xf numFmtId="0" fontId="23" fillId="0" borderId="71" xfId="0" applyFont="1" applyBorder="1" applyAlignment="1" applyProtection="1">
      <alignment horizontal="left" vertical="center"/>
    </xf>
    <xf numFmtId="164" fontId="11" fillId="0" borderId="9" xfId="1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11" fillId="0" borderId="6" xfId="0" applyFont="1" applyBorder="1" applyAlignment="1" applyProtection="1">
      <alignment horizontal="left" vertical="center"/>
    </xf>
    <xf numFmtId="0" fontId="28" fillId="0" borderId="76" xfId="0" applyFont="1" applyBorder="1" applyAlignment="1">
      <alignment horizontal="center" vertical="center"/>
    </xf>
    <xf numFmtId="0" fontId="28" fillId="0" borderId="77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4" fillId="0" borderId="72" xfId="0" applyFont="1" applyFill="1" applyBorder="1" applyAlignment="1" applyProtection="1">
      <alignment horizontal="center" vertical="center" wrapText="1"/>
    </xf>
    <xf numFmtId="0" fontId="27" fillId="0" borderId="75" xfId="0" applyFont="1" applyFill="1" applyBorder="1" applyAlignment="1" applyProtection="1">
      <alignment horizontal="center" vertical="center" wrapText="1"/>
    </xf>
    <xf numFmtId="164" fontId="21" fillId="4" borderId="0" xfId="2" applyFont="1" applyFill="1" applyAlignment="1" applyProtection="1">
      <alignment horizontal="center"/>
    </xf>
    <xf numFmtId="0" fontId="40" fillId="0" borderId="0" xfId="0" applyFont="1" applyFill="1" applyBorder="1" applyAlignment="1" applyProtection="1">
      <alignment horizontal="center" vertical="center"/>
      <protection locked="0"/>
    </xf>
    <xf numFmtId="0" fontId="30" fillId="0" borderId="71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72" xfId="0" applyFont="1" applyFill="1" applyBorder="1" applyAlignment="1" applyProtection="1">
      <alignment horizontal="left" vertical="center"/>
      <protection locked="0"/>
    </xf>
    <xf numFmtId="0" fontId="10" fillId="0" borderId="22" xfId="0" applyFont="1" applyFill="1" applyBorder="1" applyAlignment="1" applyProtection="1">
      <alignment horizontal="left" vertical="center"/>
      <protection locked="0"/>
    </xf>
    <xf numFmtId="1" fontId="42" fillId="3" borderId="162" xfId="2" applyNumberFormat="1" applyFont="1" applyFill="1" applyBorder="1" applyAlignment="1" applyProtection="1">
      <alignment horizontal="center" vertical="center"/>
      <protection locked="0"/>
    </xf>
    <xf numFmtId="1" fontId="42" fillId="3" borderId="164" xfId="2" applyNumberFormat="1" applyFont="1" applyFill="1" applyBorder="1" applyAlignment="1" applyProtection="1">
      <alignment horizontal="center" vertical="center"/>
      <protection locked="0"/>
    </xf>
    <xf numFmtId="1" fontId="42" fillId="3" borderId="166" xfId="2" applyNumberFormat="1" applyFont="1" applyFill="1" applyBorder="1" applyAlignment="1" applyProtection="1">
      <alignment horizontal="center" vertical="center"/>
      <protection locked="0"/>
    </xf>
    <xf numFmtId="10" fontId="42" fillId="3" borderId="71" xfId="2" applyNumberFormat="1" applyFont="1" applyFill="1" applyBorder="1" applyAlignment="1" applyProtection="1">
      <alignment horizontal="center" vertical="center"/>
      <protection locked="0"/>
    </xf>
    <xf numFmtId="10" fontId="42" fillId="3" borderId="10" xfId="2" applyNumberFormat="1" applyFont="1" applyFill="1" applyBorder="1" applyAlignment="1" applyProtection="1">
      <alignment horizontal="center" vertical="center"/>
      <protection locked="0"/>
    </xf>
    <xf numFmtId="10" fontId="42" fillId="3" borderId="27" xfId="2" applyNumberFormat="1" applyFont="1" applyFill="1" applyBorder="1" applyAlignment="1" applyProtection="1">
      <alignment horizontal="center" vertical="center"/>
      <protection locked="0"/>
    </xf>
    <xf numFmtId="0" fontId="46" fillId="0" borderId="143" xfId="0" applyFont="1" applyBorder="1" applyAlignment="1" applyProtection="1">
      <alignment horizontal="center" vertical="center"/>
    </xf>
    <xf numFmtId="0" fontId="46" fillId="0" borderId="5" xfId="0" applyFont="1" applyBorder="1" applyAlignment="1" applyProtection="1">
      <alignment horizontal="center" vertical="center"/>
    </xf>
    <xf numFmtId="0" fontId="46" fillId="0" borderId="144" xfId="0" applyFont="1" applyBorder="1" applyAlignment="1" applyProtection="1">
      <alignment horizontal="center" vertical="center"/>
    </xf>
    <xf numFmtId="164" fontId="10" fillId="2" borderId="11" xfId="2" quotePrefix="1" applyFont="1" applyFill="1" applyBorder="1" applyAlignment="1" applyProtection="1">
      <alignment horizontal="left" vertical="center"/>
    </xf>
    <xf numFmtId="164" fontId="10" fillId="2" borderId="12" xfId="2" quotePrefix="1" applyFont="1" applyFill="1" applyBorder="1" applyAlignment="1" applyProtection="1">
      <alignment horizontal="left" vertical="center"/>
    </xf>
    <xf numFmtId="0" fontId="11" fillId="0" borderId="12" xfId="0" applyFont="1" applyBorder="1" applyAlignment="1" applyProtection="1">
      <alignment horizontal="left" vertical="center"/>
    </xf>
    <xf numFmtId="0" fontId="11" fillId="0" borderId="159" xfId="0" applyFont="1" applyBorder="1" applyAlignment="1" applyProtection="1">
      <alignment horizontal="left" vertical="center"/>
    </xf>
    <xf numFmtId="2" fontId="37" fillId="6" borderId="7" xfId="0" applyNumberFormat="1" applyFont="1" applyFill="1" applyBorder="1" applyAlignment="1" applyProtection="1">
      <alignment horizontal="center" vertical="center" wrapText="1"/>
    </xf>
    <xf numFmtId="2" fontId="37" fillId="6" borderId="176" xfId="0" applyNumberFormat="1" applyFont="1" applyFill="1" applyBorder="1" applyAlignment="1" applyProtection="1">
      <alignment horizontal="center" vertical="center" wrapText="1"/>
    </xf>
    <xf numFmtId="164" fontId="27" fillId="6" borderId="8" xfId="2" applyFont="1" applyFill="1" applyBorder="1" applyAlignment="1" applyProtection="1">
      <alignment horizontal="center" vertical="center"/>
    </xf>
    <xf numFmtId="164" fontId="27" fillId="6" borderId="69" xfId="2" applyFont="1" applyFill="1" applyBorder="1" applyAlignment="1" applyProtection="1">
      <alignment horizontal="center" vertical="center"/>
    </xf>
    <xf numFmtId="164" fontId="27" fillId="6" borderId="147" xfId="2" applyFont="1" applyFill="1" applyBorder="1" applyAlignment="1" applyProtection="1">
      <alignment horizontal="center" vertical="center" wrapText="1"/>
    </xf>
    <xf numFmtId="164" fontId="27" fillId="6" borderId="70" xfId="2" applyFont="1" applyFill="1" applyBorder="1" applyAlignment="1" applyProtection="1">
      <alignment horizontal="center" vertical="center"/>
    </xf>
    <xf numFmtId="1" fontId="8" fillId="0" borderId="67" xfId="0" applyNumberFormat="1" applyFont="1" applyBorder="1" applyAlignment="1" applyProtection="1">
      <alignment horizontal="left" vertical="center"/>
    </xf>
  </cellXfs>
  <cellStyles count="5">
    <cellStyle name="normální" xfId="0" builtinId="0"/>
    <cellStyle name="normální 2" xfId="3"/>
    <cellStyle name="normální_80" xfId="1"/>
    <cellStyle name="normální_81" xfId="2"/>
    <cellStyle name="normální_VZOR 83" xfId="4"/>
  </cellStyles>
  <dxfs count="4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</font>
      <fill>
        <patternFill>
          <bgColor theme="9"/>
        </patternFill>
      </fill>
    </dxf>
    <dxf>
      <font>
        <b val="0"/>
        <i/>
        <color theme="2" tint="-0.499984740745262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/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/>
        <color theme="0"/>
      </font>
    </dxf>
    <dxf>
      <font>
        <b val="0"/>
        <i/>
        <color theme="0"/>
      </font>
    </dxf>
    <dxf>
      <fill>
        <patternFill>
          <bgColor rgb="FFFFFFCC"/>
        </patternFill>
      </fill>
    </dxf>
    <dxf>
      <font>
        <b val="0"/>
        <i/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/>
        <color theme="0"/>
      </font>
    </dxf>
    <dxf>
      <font>
        <b val="0"/>
        <i/>
        <color theme="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242049</xdr:colOff>
      <xdr:row>78</xdr:row>
      <xdr:rowOff>6722</xdr:rowOff>
    </xdr:from>
    <xdr:to>
      <xdr:col>14</xdr:col>
      <xdr:colOff>600637</xdr:colOff>
      <xdr:row>80</xdr:row>
      <xdr:rowOff>107576</xdr:rowOff>
    </xdr:to>
    <xdr:sp macro="" textlink="">
      <xdr:nvSpPr>
        <xdr:cNvPr id="2" name="Šipka dolů 1"/>
        <xdr:cNvSpPr/>
      </xdr:nvSpPr>
      <xdr:spPr>
        <a:xfrm>
          <a:off x="10881474" y="13389347"/>
          <a:ext cx="358588" cy="453279"/>
        </a:xfrm>
        <a:prstGeom prst="downArrow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56026</xdr:colOff>
      <xdr:row>78</xdr:row>
      <xdr:rowOff>22412</xdr:rowOff>
    </xdr:from>
    <xdr:to>
      <xdr:col>15</xdr:col>
      <xdr:colOff>414614</xdr:colOff>
      <xdr:row>80</xdr:row>
      <xdr:rowOff>123266</xdr:rowOff>
    </xdr:to>
    <xdr:sp macro="" textlink="">
      <xdr:nvSpPr>
        <xdr:cNvPr id="3" name="Šipka dolů 2"/>
        <xdr:cNvSpPr/>
      </xdr:nvSpPr>
      <xdr:spPr>
        <a:xfrm>
          <a:off x="11800351" y="13405037"/>
          <a:ext cx="358588" cy="453279"/>
        </a:xfrm>
        <a:prstGeom prst="downArrow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17</xdr:col>
      <xdr:colOff>169108</xdr:colOff>
      <xdr:row>76</xdr:row>
      <xdr:rowOff>22412</xdr:rowOff>
    </xdr:from>
    <xdr:to>
      <xdr:col>18</xdr:col>
      <xdr:colOff>459441</xdr:colOff>
      <xdr:row>80</xdr:row>
      <xdr:rowOff>151714</xdr:rowOff>
    </xdr:to>
    <xdr:sp macro="" textlink="">
      <xdr:nvSpPr>
        <xdr:cNvPr id="4" name="Šipka doprava 3"/>
        <xdr:cNvSpPr/>
      </xdr:nvSpPr>
      <xdr:spPr>
        <a:xfrm flipH="1">
          <a:off x="12704008" y="13081187"/>
          <a:ext cx="2252483" cy="805577"/>
        </a:xfrm>
        <a:prstGeom prst="rightArrow">
          <a:avLst>
            <a:gd name="adj1" fmla="val 50000"/>
            <a:gd name="adj2" fmla="val 43301"/>
          </a:avLst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cs-CZ" sz="1600" b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" panose="020B0604020202020204" pitchFamily="34" charset="0"/>
              <a:cs typeface="Arial" panose="020B0604020202020204" pitchFamily="34" charset="0"/>
            </a:rPr>
            <a:t>V Y P L N I T</a:t>
          </a:r>
          <a:endParaRPr lang="cs-CZ" sz="1200" b="0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boril_vzor%20_8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bo&#345;il/A%20K%20C%20E_2020/18-047-235-XX_LipDrah_La&#271;a%20Dorazil/SR_exit_I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 SR"/>
      <sheetName val="1A"/>
      <sheetName val="1B"/>
      <sheetName val="1C"/>
      <sheetName val="2A"/>
      <sheetName val="2B"/>
      <sheetName val="2Bhide"/>
      <sheetName val="2C"/>
      <sheetName val="3SO"/>
      <sheetName val="3PS"/>
      <sheetName val="FR"/>
      <sheetName val="Komentář FR"/>
      <sheetName val="PN"/>
      <sheetName val="VZOR 80"/>
      <sheetName val="VZOR 81"/>
      <sheetName val="VZOR 82"/>
      <sheetName val="VZOR 83"/>
      <sheetName val="NAD"/>
      <sheetName val="hide-formáty"/>
      <sheetName val="hidekody"/>
      <sheetName val="hide"/>
      <sheetName val="hideSO"/>
      <sheetName val="hidePS"/>
    </sheetNames>
    <sheetDataSet>
      <sheetData sheetId="0">
        <row r="2">
          <cell r="B2" t="str">
            <v>Modernizace trati Brno - Přerov, 5. stavba Kojetín - Přerov</v>
          </cell>
        </row>
        <row r="8">
          <cell r="D8">
            <v>70994234</v>
          </cell>
        </row>
      </sheetData>
      <sheetData sheetId="1" refreshError="1"/>
      <sheetData sheetId="2" refreshError="1"/>
      <sheetData sheetId="3" refreshError="1"/>
      <sheetData sheetId="4">
        <row r="7">
          <cell r="I7">
            <v>500000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I46">
            <v>0</v>
          </cell>
          <cell r="J46">
            <v>0</v>
          </cell>
        </row>
        <row r="49">
          <cell r="I49">
            <v>0</v>
          </cell>
          <cell r="J49">
            <v>422</v>
          </cell>
        </row>
      </sheetData>
      <sheetData sheetId="5"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38"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  <row r="42">
          <cell r="J42">
            <v>0</v>
          </cell>
          <cell r="K42">
            <v>0</v>
          </cell>
          <cell r="L42">
            <v>0</v>
          </cell>
        </row>
      </sheetData>
      <sheetData sheetId="6" refreshError="1"/>
      <sheetData sheetId="7" refreshError="1"/>
      <sheetData sheetId="8">
        <row r="9">
          <cell r="E9">
            <v>44783</v>
          </cell>
        </row>
      </sheetData>
      <sheetData sheetId="9">
        <row r="9">
          <cell r="E9">
            <v>44783</v>
          </cell>
        </row>
      </sheetData>
      <sheetData sheetId="10" refreshError="1"/>
      <sheetData sheetId="11">
        <row r="86">
          <cell r="W86">
            <v>2845642700.9151354</v>
          </cell>
        </row>
        <row r="88">
          <cell r="M88">
            <v>0</v>
          </cell>
          <cell r="O88">
            <v>0</v>
          </cell>
          <cell r="Q88">
            <v>0</v>
          </cell>
          <cell r="S88">
            <v>0</v>
          </cell>
          <cell r="U88">
            <v>1108257174.3547032</v>
          </cell>
          <cell r="W88">
            <v>2845642700.9151354</v>
          </cell>
          <cell r="Y88">
            <v>2890533689.0572433</v>
          </cell>
          <cell r="AA88">
            <v>2484772372.3468108</v>
          </cell>
          <cell r="AC88">
            <v>0</v>
          </cell>
          <cell r="AE88">
            <v>0</v>
          </cell>
        </row>
      </sheetData>
      <sheetData sheetId="12">
        <row r="16">
          <cell r="F16">
            <v>1823316367.2966723</v>
          </cell>
        </row>
        <row r="17">
          <cell r="F17">
            <v>1197693467.7508173</v>
          </cell>
        </row>
        <row r="18">
          <cell r="F18">
            <v>75106567.71910511</v>
          </cell>
        </row>
        <row r="19">
          <cell r="F19">
            <v>3519432.9072820288</v>
          </cell>
        </row>
        <row r="20">
          <cell r="F20">
            <v>1207359969.5638022</v>
          </cell>
        </row>
        <row r="21">
          <cell r="F21">
            <v>0</v>
          </cell>
        </row>
        <row r="22">
          <cell r="F22">
            <v>100766740.52815512</v>
          </cell>
        </row>
        <row r="23">
          <cell r="F23">
            <v>0</v>
          </cell>
        </row>
        <row r="24">
          <cell r="F24">
            <v>786068465.06315386</v>
          </cell>
        </row>
        <row r="25">
          <cell r="F25">
            <v>452860673.63195449</v>
          </cell>
        </row>
        <row r="26">
          <cell r="F26">
            <v>70890719.714887708</v>
          </cell>
        </row>
        <row r="27">
          <cell r="F27">
            <v>253614160.89729244</v>
          </cell>
        </row>
        <row r="28">
          <cell r="F28">
            <v>573137255.21672881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91742831.620087072</v>
          </cell>
        </row>
        <row r="32">
          <cell r="F32">
            <v>0</v>
          </cell>
        </row>
        <row r="33">
          <cell r="F33">
            <v>523827879.08713335</v>
          </cell>
        </row>
        <row r="34">
          <cell r="F34">
            <v>34514740.817213096</v>
          </cell>
        </row>
        <row r="35">
          <cell r="F35">
            <v>11575533.332346667</v>
          </cell>
        </row>
        <row r="36">
          <cell r="F36">
            <v>136545140.86269927</v>
          </cell>
        </row>
        <row r="37">
          <cell r="F37">
            <v>942897998.82915676</v>
          </cell>
        </row>
        <row r="38">
          <cell r="F38">
            <v>141485704.37932229</v>
          </cell>
        </row>
        <row r="39">
          <cell r="F39">
            <v>132379020.43493079</v>
          </cell>
        </row>
        <row r="40">
          <cell r="F40">
            <v>0</v>
          </cell>
        </row>
      </sheetData>
      <sheetData sheetId="13" refreshError="1"/>
      <sheetData sheetId="14"/>
      <sheetData sheetId="15">
        <row r="4">
          <cell r="O4" t="str">
            <v>NE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 SR"/>
      <sheetName val="1A"/>
      <sheetName val="1B"/>
      <sheetName val="1C"/>
      <sheetName val="2A"/>
      <sheetName val="2B"/>
      <sheetName val="2Bhide"/>
      <sheetName val="2C"/>
      <sheetName val="3SO"/>
      <sheetName val="3PS"/>
      <sheetName val="FR"/>
      <sheetName val="Komentář FR"/>
      <sheetName val="PN"/>
      <sheetName val="VZOR 80"/>
      <sheetName val="VZOR 81"/>
      <sheetName val="VZOR 82"/>
      <sheetName val="VZOR 83"/>
      <sheetName val="NAD"/>
      <sheetName val="hide-formáty"/>
      <sheetName val="hidekody"/>
      <sheetName val="hide"/>
      <sheetName val="hideSO"/>
      <sheetName val="hidePS"/>
    </sheetNames>
    <sheetDataSet>
      <sheetData sheetId="0">
        <row r="4">
          <cell r="F4">
            <v>2020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6">
          <cell r="W86">
            <v>333231951.69101077</v>
          </cell>
        </row>
        <row r="88">
          <cell r="M88">
            <v>0</v>
          </cell>
          <cell r="O88">
            <v>0</v>
          </cell>
          <cell r="Q88">
            <v>0</v>
          </cell>
          <cell r="S88">
            <v>0</v>
          </cell>
          <cell r="U88">
            <v>286332706.04577219</v>
          </cell>
          <cell r="W88">
            <v>333231951.69101077</v>
          </cell>
          <cell r="Y88">
            <v>341062902.55574954</v>
          </cell>
          <cell r="AA88">
            <v>425151977.47100514</v>
          </cell>
          <cell r="AC88">
            <v>181210255.99758691</v>
          </cell>
          <cell r="AE88">
            <v>0</v>
          </cell>
        </row>
      </sheetData>
      <sheetData sheetId="12"/>
      <sheetData sheetId="13"/>
      <sheetData sheetId="14"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P46"/>
  <sheetViews>
    <sheetView workbookViewId="0">
      <selection activeCell="F14" sqref="F14"/>
    </sheetView>
  </sheetViews>
  <sheetFormatPr defaultRowHeight="15"/>
  <cols>
    <col min="1" max="1" width="9.140625" style="30"/>
    <col min="2" max="8" width="10.28515625" style="30" customWidth="1"/>
    <col min="9" max="9" width="9.42578125" style="30" customWidth="1"/>
    <col min="10" max="10" width="2.42578125" style="30" customWidth="1"/>
    <col min="11" max="11" width="9.140625" style="30"/>
    <col min="12" max="12" width="4.140625" style="30" customWidth="1"/>
    <col min="13" max="13" width="11.140625" style="30" customWidth="1"/>
    <col min="14" max="16" width="7" style="30" customWidth="1"/>
    <col min="17" max="16384" width="9.140625" style="30"/>
  </cols>
  <sheetData>
    <row r="1" spans="1:16" s="3" customFormat="1" ht="15.7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18.75" thickBot="1">
      <c r="A2" s="435"/>
      <c r="B2" s="436"/>
      <c r="C2" s="436"/>
      <c r="D2" s="436"/>
      <c r="E2" s="436"/>
      <c r="F2" s="436"/>
      <c r="G2" s="436"/>
      <c r="H2" s="436"/>
      <c r="I2" s="436"/>
      <c r="J2" s="436"/>
      <c r="K2" s="436"/>
      <c r="L2" s="436"/>
      <c r="M2" s="2"/>
      <c r="N2" s="2"/>
      <c r="O2" s="2"/>
      <c r="P2" s="2"/>
    </row>
    <row r="3" spans="1:16" s="3" customFormat="1" ht="19.5" thickBot="1">
      <c r="A3" s="437"/>
      <c r="B3" s="438"/>
      <c r="C3" s="439" t="s">
        <v>0</v>
      </c>
      <c r="D3" s="440"/>
      <c r="E3" s="440"/>
      <c r="F3" s="440"/>
      <c r="G3" s="440"/>
      <c r="H3" s="440"/>
      <c r="I3" s="440"/>
      <c r="J3" s="440"/>
      <c r="K3" s="440"/>
      <c r="L3" s="441"/>
      <c r="M3" s="4" t="s">
        <v>1</v>
      </c>
      <c r="N3" s="5"/>
      <c r="O3" s="5"/>
      <c r="P3" s="6"/>
    </row>
    <row r="4" spans="1:16" s="3" customFormat="1" ht="34.5" customHeight="1">
      <c r="A4" s="442" t="s">
        <v>2</v>
      </c>
      <c r="B4" s="443"/>
      <c r="C4" s="444" t="s">
        <v>201</v>
      </c>
      <c r="D4" s="445"/>
      <c r="E4" s="445"/>
      <c r="F4" s="445"/>
      <c r="G4" s="445"/>
      <c r="H4" s="445"/>
      <c r="I4" s="445"/>
      <c r="J4" s="445"/>
      <c r="K4" s="445"/>
      <c r="L4" s="446"/>
      <c r="M4" s="7"/>
      <c r="N4" s="7"/>
      <c r="O4" s="8"/>
      <c r="P4" s="9"/>
    </row>
    <row r="5" spans="1:16" s="3" customFormat="1" ht="16.5" customHeight="1">
      <c r="A5" s="410" t="s">
        <v>3</v>
      </c>
      <c r="B5" s="411"/>
      <c r="C5" s="412">
        <v>5813520009</v>
      </c>
      <c r="D5" s="413"/>
      <c r="E5" s="413"/>
      <c r="F5" s="413"/>
      <c r="G5" s="413"/>
      <c r="H5" s="413"/>
      <c r="I5" s="413"/>
      <c r="J5" s="413"/>
      <c r="K5" s="413"/>
      <c r="L5" s="414"/>
      <c r="M5" s="10"/>
      <c r="N5" s="8"/>
      <c r="O5" s="8"/>
      <c r="P5" s="9"/>
    </row>
    <row r="6" spans="1:16" s="3" customFormat="1" ht="16.5" customHeight="1" thickBot="1">
      <c r="A6" s="415" t="s">
        <v>4</v>
      </c>
      <c r="B6" s="416"/>
      <c r="C6" s="417" t="s">
        <v>200</v>
      </c>
      <c r="D6" s="418"/>
      <c r="E6" s="418"/>
      <c r="F6" s="418"/>
      <c r="G6" s="418"/>
      <c r="H6" s="418"/>
      <c r="I6" s="418"/>
      <c r="J6" s="418"/>
      <c r="K6" s="418"/>
      <c r="L6" s="419"/>
      <c r="M6" s="10"/>
      <c r="N6" s="8"/>
      <c r="O6" s="8"/>
      <c r="P6" s="9"/>
    </row>
    <row r="7" spans="1:16" s="3" customFormat="1" ht="16.5" thickBot="1">
      <c r="A7" s="11" t="s">
        <v>5</v>
      </c>
      <c r="B7" s="12">
        <f>'[1]Krycí list SR'!D8</f>
        <v>70994234</v>
      </c>
      <c r="C7" s="420" t="s">
        <v>6</v>
      </c>
      <c r="D7" s="421"/>
      <c r="E7" s="421"/>
      <c r="F7" s="421"/>
      <c r="G7" s="421"/>
      <c r="H7" s="421"/>
      <c r="I7" s="422"/>
      <c r="J7" s="423"/>
      <c r="K7" s="423"/>
      <c r="L7" s="424"/>
      <c r="M7" s="13" t="s">
        <v>7</v>
      </c>
      <c r="N7" s="455"/>
      <c r="O7" s="456"/>
      <c r="P7" s="9"/>
    </row>
    <row r="8" spans="1:16" s="3" customFormat="1" ht="15.75">
      <c r="A8" s="14"/>
      <c r="B8" s="15"/>
      <c r="C8" s="15"/>
      <c r="D8" s="15"/>
      <c r="E8" s="15"/>
      <c r="F8" s="7"/>
      <c r="G8" s="7"/>
      <c r="H8" s="7"/>
      <c r="I8" s="7"/>
      <c r="J8" s="7"/>
      <c r="K8" s="7"/>
      <c r="L8" s="7"/>
      <c r="M8" s="7"/>
      <c r="N8" s="7"/>
      <c r="O8" s="8"/>
      <c r="P8" s="9"/>
    </row>
    <row r="9" spans="1:16" s="3" customFormat="1" ht="15.75">
      <c r="A9" s="16" t="s">
        <v>8</v>
      </c>
      <c r="B9" s="17"/>
      <c r="C9" s="17"/>
      <c r="D9" s="17"/>
      <c r="E9" s="17"/>
      <c r="F9" s="17"/>
      <c r="G9" s="17"/>
      <c r="H9" s="17"/>
      <c r="I9" s="8"/>
      <c r="J9" s="8"/>
      <c r="K9" s="8"/>
      <c r="L9" s="8"/>
      <c r="M9" s="8"/>
      <c r="N9" s="8"/>
      <c r="O9" s="8"/>
      <c r="P9" s="18"/>
    </row>
    <row r="10" spans="1:16" s="3" customFormat="1">
      <c r="A10" s="19"/>
      <c r="B10" s="20" t="s">
        <v>9</v>
      </c>
      <c r="C10" s="21"/>
      <c r="D10" s="20"/>
      <c r="E10" s="21"/>
      <c r="F10" s="21"/>
      <c r="G10" s="21"/>
      <c r="H10" s="21"/>
      <c r="I10" s="467" t="s">
        <v>10</v>
      </c>
      <c r="J10" s="468"/>
      <c r="K10" s="22"/>
      <c r="L10" s="23"/>
      <c r="M10" s="24" t="s">
        <v>11</v>
      </c>
      <c r="N10" s="25"/>
      <c r="O10" s="25"/>
      <c r="P10" s="26"/>
    </row>
    <row r="11" spans="1:16">
      <c r="A11" s="27">
        <v>8003</v>
      </c>
      <c r="B11" s="28" t="s">
        <v>12</v>
      </c>
      <c r="C11" s="29"/>
      <c r="D11" s="29"/>
      <c r="E11" s="29"/>
      <c r="F11" s="29"/>
      <c r="G11" s="29"/>
      <c r="H11" s="29"/>
      <c r="I11" s="457">
        <v>2011</v>
      </c>
      <c r="J11" s="458"/>
      <c r="K11" s="357"/>
      <c r="L11" s="358"/>
      <c r="M11" s="359">
        <v>45505</v>
      </c>
      <c r="N11" s="459"/>
      <c r="O11" s="460"/>
      <c r="P11" s="461"/>
    </row>
    <row r="12" spans="1:16" s="3" customFormat="1">
      <c r="A12" s="31">
        <v>8004</v>
      </c>
      <c r="B12" s="32" t="s">
        <v>13</v>
      </c>
      <c r="C12" s="33"/>
      <c r="D12" s="33"/>
      <c r="E12" s="33"/>
      <c r="F12" s="33"/>
      <c r="G12" s="33"/>
      <c r="H12" s="33"/>
      <c r="I12" s="462">
        <v>45566</v>
      </c>
      <c r="J12" s="463"/>
      <c r="K12" s="360"/>
      <c r="L12" s="361"/>
      <c r="M12" s="362">
        <v>45658</v>
      </c>
      <c r="N12" s="464"/>
      <c r="O12" s="465"/>
      <c r="P12" s="466"/>
    </row>
    <row r="13" spans="1:16" s="3" customFormat="1">
      <c r="A13" s="31">
        <v>8005</v>
      </c>
      <c r="B13" s="32" t="s">
        <v>14</v>
      </c>
      <c r="C13" s="33"/>
      <c r="D13" s="33"/>
      <c r="E13" s="33"/>
      <c r="F13" s="33"/>
      <c r="G13" s="33"/>
      <c r="H13" s="33"/>
      <c r="I13" s="462">
        <v>45566</v>
      </c>
      <c r="J13" s="463"/>
      <c r="K13" s="360"/>
      <c r="L13" s="361"/>
      <c r="M13" s="362">
        <v>45658</v>
      </c>
      <c r="N13" s="464"/>
      <c r="O13" s="465"/>
      <c r="P13" s="466"/>
    </row>
    <row r="14" spans="1:16" s="3" customFormat="1">
      <c r="A14" s="34">
        <v>8006</v>
      </c>
      <c r="B14" s="35" t="s">
        <v>15</v>
      </c>
      <c r="C14" s="36"/>
      <c r="D14" s="36"/>
      <c r="E14" s="36"/>
      <c r="F14" s="36"/>
      <c r="G14" s="36"/>
      <c r="H14" s="36"/>
      <c r="I14" s="462">
        <v>45689</v>
      </c>
      <c r="J14" s="463"/>
      <c r="K14" s="360"/>
      <c r="L14" s="361"/>
      <c r="M14" s="362">
        <v>48029</v>
      </c>
      <c r="N14" s="464"/>
      <c r="O14" s="465"/>
      <c r="P14" s="466"/>
    </row>
    <row r="15" spans="1:16" s="3" customFormat="1">
      <c r="A15" s="31">
        <v>8007</v>
      </c>
      <c r="B15" s="32" t="s">
        <v>16</v>
      </c>
      <c r="C15" s="33"/>
      <c r="D15" s="33"/>
      <c r="E15" s="33"/>
      <c r="F15" s="33"/>
      <c r="G15" s="33"/>
      <c r="H15" s="33"/>
      <c r="I15" s="462">
        <v>45689</v>
      </c>
      <c r="J15" s="463"/>
      <c r="K15" s="360"/>
      <c r="L15" s="361"/>
      <c r="M15" s="362">
        <v>48029</v>
      </c>
      <c r="N15" s="464"/>
      <c r="O15" s="465"/>
      <c r="P15" s="466"/>
    </row>
    <row r="16" spans="1:16">
      <c r="A16" s="37">
        <v>8008</v>
      </c>
      <c r="B16" s="38" t="s">
        <v>17</v>
      </c>
      <c r="C16" s="39"/>
      <c r="D16" s="39"/>
      <c r="E16" s="39"/>
      <c r="F16" s="39"/>
      <c r="G16" s="39"/>
      <c r="H16" s="39"/>
      <c r="I16" s="425">
        <v>48060</v>
      </c>
      <c r="J16" s="426"/>
      <c r="K16" s="363"/>
      <c r="L16" s="364"/>
      <c r="M16" s="365">
        <v>48212</v>
      </c>
      <c r="N16" s="447"/>
      <c r="O16" s="448"/>
      <c r="P16" s="449"/>
    </row>
    <row r="17" spans="1:16" s="3" customFormat="1" ht="16.5" customHeight="1">
      <c r="A17" s="40" t="s">
        <v>18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2"/>
    </row>
    <row r="18" spans="1:16" s="3" customFormat="1" ht="15.75" thickBot="1">
      <c r="A18" s="43"/>
      <c r="B18" s="450" t="s">
        <v>19</v>
      </c>
      <c r="C18" s="451"/>
      <c r="D18" s="451"/>
      <c r="E18" s="451"/>
      <c r="F18" s="451"/>
      <c r="G18" s="451"/>
      <c r="H18" s="452"/>
      <c r="I18" s="453" t="s">
        <v>20</v>
      </c>
      <c r="J18" s="454"/>
      <c r="K18" s="44" t="s">
        <v>21</v>
      </c>
      <c r="L18" s="45"/>
      <c r="M18" s="46"/>
      <c r="N18" s="45"/>
      <c r="O18" s="45"/>
      <c r="P18" s="47"/>
    </row>
    <row r="19" spans="1:16" ht="15.75" thickTop="1">
      <c r="A19" s="48">
        <v>8011</v>
      </c>
      <c r="B19" s="479" t="s">
        <v>207</v>
      </c>
      <c r="C19" s="480"/>
      <c r="D19" s="480"/>
      <c r="E19" s="480"/>
      <c r="F19" s="480"/>
      <c r="G19" s="480"/>
      <c r="H19" s="481"/>
      <c r="I19" s="482" t="s">
        <v>208</v>
      </c>
      <c r="J19" s="483"/>
      <c r="K19" s="484">
        <v>120</v>
      </c>
      <c r="L19" s="485"/>
      <c r="M19" s="485"/>
      <c r="N19" s="485"/>
      <c r="O19" s="485"/>
      <c r="P19" s="486"/>
    </row>
    <row r="20" spans="1:16">
      <c r="A20" s="49">
        <v>8012</v>
      </c>
      <c r="B20" s="407" t="s">
        <v>209</v>
      </c>
      <c r="C20" s="408"/>
      <c r="D20" s="408"/>
      <c r="E20" s="408"/>
      <c r="F20" s="408"/>
      <c r="G20" s="408"/>
      <c r="H20" s="409"/>
      <c r="I20" s="427" t="s">
        <v>7</v>
      </c>
      <c r="J20" s="428"/>
      <c r="K20" s="432" t="s">
        <v>210</v>
      </c>
      <c r="L20" s="433"/>
      <c r="M20" s="433"/>
      <c r="N20" s="433"/>
      <c r="O20" s="433"/>
      <c r="P20" s="434"/>
    </row>
    <row r="21" spans="1:16">
      <c r="A21" s="49">
        <v>8013</v>
      </c>
      <c r="B21" s="407" t="s">
        <v>211</v>
      </c>
      <c r="C21" s="408"/>
      <c r="D21" s="408"/>
      <c r="E21" s="408"/>
      <c r="F21" s="408"/>
      <c r="G21" s="408"/>
      <c r="H21" s="409"/>
      <c r="I21" s="427" t="s">
        <v>7</v>
      </c>
      <c r="J21" s="428"/>
      <c r="K21" s="432" t="s">
        <v>212</v>
      </c>
      <c r="L21" s="433"/>
      <c r="M21" s="433"/>
      <c r="N21" s="433"/>
      <c r="O21" s="433"/>
      <c r="P21" s="434"/>
    </row>
    <row r="22" spans="1:16">
      <c r="A22" s="49">
        <v>8014</v>
      </c>
      <c r="B22" s="407" t="s">
        <v>217</v>
      </c>
      <c r="C22" s="408"/>
      <c r="D22" s="408"/>
      <c r="E22" s="408"/>
      <c r="F22" s="408"/>
      <c r="G22" s="408"/>
      <c r="H22" s="409"/>
      <c r="I22" s="427" t="s">
        <v>213</v>
      </c>
      <c r="J22" s="428"/>
      <c r="K22" s="429" t="s">
        <v>232</v>
      </c>
      <c r="L22" s="430"/>
      <c r="M22" s="430"/>
      <c r="N22" s="430"/>
      <c r="O22" s="430"/>
      <c r="P22" s="431"/>
    </row>
    <row r="23" spans="1:16">
      <c r="A23" s="49">
        <v>8015</v>
      </c>
      <c r="B23" s="407" t="s">
        <v>218</v>
      </c>
      <c r="C23" s="408"/>
      <c r="D23" s="408"/>
      <c r="E23" s="408"/>
      <c r="F23" s="408"/>
      <c r="G23" s="408"/>
      <c r="H23" s="409"/>
      <c r="I23" s="427" t="s">
        <v>213</v>
      </c>
      <c r="J23" s="428"/>
      <c r="K23" s="429" t="s">
        <v>233</v>
      </c>
      <c r="L23" s="430"/>
      <c r="M23" s="430"/>
      <c r="N23" s="430"/>
      <c r="O23" s="430"/>
      <c r="P23" s="431"/>
    </row>
    <row r="24" spans="1:16">
      <c r="A24" s="49">
        <v>8016</v>
      </c>
      <c r="B24" s="398" t="s">
        <v>223</v>
      </c>
      <c r="C24" s="399"/>
      <c r="D24" s="399"/>
      <c r="E24" s="399"/>
      <c r="F24" s="399"/>
      <c r="G24" s="399"/>
      <c r="H24" s="400"/>
      <c r="I24" s="427" t="s">
        <v>214</v>
      </c>
      <c r="J24" s="428"/>
      <c r="K24" s="432">
        <v>3</v>
      </c>
      <c r="L24" s="433"/>
      <c r="M24" s="433"/>
      <c r="N24" s="433"/>
      <c r="O24" s="433"/>
      <c r="P24" s="434"/>
    </row>
    <row r="25" spans="1:16">
      <c r="A25" s="49">
        <v>8017</v>
      </c>
      <c r="B25" s="398" t="s">
        <v>228</v>
      </c>
      <c r="C25" s="399"/>
      <c r="D25" s="399"/>
      <c r="E25" s="399"/>
      <c r="F25" s="399"/>
      <c r="G25" s="399"/>
      <c r="H25" s="400"/>
      <c r="I25" s="427" t="s">
        <v>214</v>
      </c>
      <c r="J25" s="428"/>
      <c r="K25" s="469" t="s">
        <v>224</v>
      </c>
      <c r="L25" s="470"/>
      <c r="M25" s="470"/>
      <c r="N25" s="470"/>
      <c r="O25" s="470"/>
      <c r="P25" s="471"/>
    </row>
    <row r="26" spans="1:16">
      <c r="A26" s="49">
        <v>8018</v>
      </c>
      <c r="B26" s="398" t="s">
        <v>219</v>
      </c>
      <c r="C26" s="399"/>
      <c r="D26" s="399"/>
      <c r="E26" s="399"/>
      <c r="F26" s="399"/>
      <c r="G26" s="399"/>
      <c r="H26" s="400"/>
      <c r="I26" s="427" t="s">
        <v>215</v>
      </c>
      <c r="J26" s="428"/>
      <c r="K26" s="429">
        <v>93886</v>
      </c>
      <c r="L26" s="430"/>
      <c r="M26" s="430"/>
      <c r="N26" s="430"/>
      <c r="O26" s="430"/>
      <c r="P26" s="431"/>
    </row>
    <row r="27" spans="1:16">
      <c r="A27" s="49">
        <v>8019</v>
      </c>
      <c r="B27" s="406" t="s">
        <v>234</v>
      </c>
      <c r="C27" s="399"/>
      <c r="D27" s="399"/>
      <c r="E27" s="399"/>
      <c r="F27" s="399"/>
      <c r="G27" s="399"/>
      <c r="H27" s="400"/>
      <c r="I27" s="427" t="s">
        <v>229</v>
      </c>
      <c r="J27" s="428"/>
      <c r="K27" s="432" t="s">
        <v>230</v>
      </c>
      <c r="L27" s="433"/>
      <c r="M27" s="433"/>
      <c r="N27" s="433"/>
      <c r="O27" s="433"/>
      <c r="P27" s="434"/>
    </row>
    <row r="28" spans="1:16">
      <c r="A28" s="49">
        <v>8020</v>
      </c>
      <c r="B28" s="406" t="s">
        <v>235</v>
      </c>
      <c r="C28" s="399"/>
      <c r="D28" s="399"/>
      <c r="E28" s="399"/>
      <c r="F28" s="399"/>
      <c r="G28" s="399"/>
      <c r="H28" s="400"/>
      <c r="I28" s="427" t="s">
        <v>229</v>
      </c>
      <c r="J28" s="428"/>
      <c r="K28" s="469" t="s">
        <v>231</v>
      </c>
      <c r="L28" s="470"/>
      <c r="M28" s="470"/>
      <c r="N28" s="470"/>
      <c r="O28" s="470"/>
      <c r="P28" s="471"/>
    </row>
    <row r="29" spans="1:16">
      <c r="A29" s="49">
        <v>8021</v>
      </c>
      <c r="B29" s="401" t="s">
        <v>225</v>
      </c>
      <c r="C29" s="402"/>
      <c r="D29" s="402"/>
      <c r="E29" s="402"/>
      <c r="F29" s="402"/>
      <c r="G29" s="402"/>
      <c r="H29" s="403"/>
      <c r="I29" s="427" t="s">
        <v>214</v>
      </c>
      <c r="J29" s="428"/>
      <c r="K29" s="432" t="s">
        <v>224</v>
      </c>
      <c r="L29" s="433"/>
      <c r="M29" s="433"/>
      <c r="N29" s="433"/>
      <c r="O29" s="433"/>
      <c r="P29" s="434"/>
    </row>
    <row r="30" spans="1:16">
      <c r="A30" s="49">
        <v>8022</v>
      </c>
      <c r="B30" s="401" t="s">
        <v>220</v>
      </c>
      <c r="C30" s="402"/>
      <c r="D30" s="402"/>
      <c r="E30" s="402"/>
      <c r="F30" s="402"/>
      <c r="G30" s="402"/>
      <c r="H30" s="403"/>
      <c r="I30" s="427" t="s">
        <v>214</v>
      </c>
      <c r="J30" s="428"/>
      <c r="K30" s="469">
        <v>297</v>
      </c>
      <c r="L30" s="470"/>
      <c r="M30" s="470"/>
      <c r="N30" s="470"/>
      <c r="O30" s="470"/>
      <c r="P30" s="471"/>
    </row>
    <row r="31" spans="1:16">
      <c r="A31" s="49">
        <v>8023</v>
      </c>
      <c r="B31" s="401" t="s">
        <v>221</v>
      </c>
      <c r="C31" s="402"/>
      <c r="D31" s="402"/>
      <c r="E31" s="402"/>
      <c r="F31" s="402"/>
      <c r="G31" s="402"/>
      <c r="H31" s="403"/>
      <c r="I31" s="427" t="s">
        <v>214</v>
      </c>
      <c r="J31" s="428"/>
      <c r="K31" s="469" t="s">
        <v>222</v>
      </c>
      <c r="L31" s="470"/>
      <c r="M31" s="470"/>
      <c r="N31" s="470"/>
      <c r="O31" s="470"/>
      <c r="P31" s="471"/>
    </row>
    <row r="32" spans="1:16">
      <c r="A32" s="49">
        <v>8024</v>
      </c>
      <c r="B32" s="401" t="s">
        <v>226</v>
      </c>
      <c r="C32" s="402"/>
      <c r="D32" s="402"/>
      <c r="E32" s="402"/>
      <c r="F32" s="402"/>
      <c r="G32" s="402"/>
      <c r="H32" s="403"/>
      <c r="I32" s="427" t="s">
        <v>214</v>
      </c>
      <c r="J32" s="428"/>
      <c r="K32" s="469">
        <v>432</v>
      </c>
      <c r="L32" s="470"/>
      <c r="M32" s="470"/>
      <c r="N32" s="470"/>
      <c r="O32" s="470"/>
      <c r="P32" s="471"/>
    </row>
    <row r="33" spans="1:16">
      <c r="A33" s="49">
        <v>8025</v>
      </c>
      <c r="B33" s="401" t="s">
        <v>216</v>
      </c>
      <c r="C33" s="402"/>
      <c r="D33" s="402"/>
      <c r="E33" s="402"/>
      <c r="F33" s="402"/>
      <c r="G33" s="402"/>
      <c r="H33" s="403"/>
      <c r="I33" s="427" t="s">
        <v>215</v>
      </c>
      <c r="J33" s="428"/>
      <c r="K33" s="487">
        <v>113520</v>
      </c>
      <c r="L33" s="488"/>
      <c r="M33" s="488"/>
      <c r="N33" s="488"/>
      <c r="O33" s="488"/>
      <c r="P33" s="489"/>
    </row>
    <row r="34" spans="1:16">
      <c r="A34" s="49">
        <v>8026</v>
      </c>
      <c r="B34" s="407" t="s">
        <v>227</v>
      </c>
      <c r="C34" s="408"/>
      <c r="D34" s="408"/>
      <c r="E34" s="408"/>
      <c r="F34" s="408"/>
      <c r="G34" s="408"/>
      <c r="H34" s="409"/>
      <c r="I34" s="427" t="s">
        <v>214</v>
      </c>
      <c r="J34" s="428"/>
      <c r="K34" s="432">
        <v>14</v>
      </c>
      <c r="L34" s="433"/>
      <c r="M34" s="433"/>
      <c r="N34" s="433"/>
      <c r="O34" s="433"/>
      <c r="P34" s="434"/>
    </row>
    <row r="35" spans="1:16">
      <c r="A35" s="49">
        <v>8027</v>
      </c>
      <c r="B35" s="407"/>
      <c r="C35" s="408"/>
      <c r="D35" s="408"/>
      <c r="E35" s="408"/>
      <c r="F35" s="408"/>
      <c r="G35" s="408"/>
      <c r="H35" s="409"/>
      <c r="I35" s="427"/>
      <c r="J35" s="428"/>
      <c r="K35" s="432"/>
      <c r="L35" s="433"/>
      <c r="M35" s="433"/>
      <c r="N35" s="433"/>
      <c r="O35" s="433"/>
      <c r="P35" s="434"/>
    </row>
    <row r="36" spans="1:16">
      <c r="A36" s="49">
        <v>8028</v>
      </c>
      <c r="B36" s="407"/>
      <c r="C36" s="408"/>
      <c r="D36" s="408"/>
      <c r="E36" s="408"/>
      <c r="F36" s="408"/>
      <c r="G36" s="408"/>
      <c r="H36" s="409"/>
      <c r="I36" s="427"/>
      <c r="J36" s="428"/>
      <c r="K36" s="432"/>
      <c r="L36" s="433"/>
      <c r="M36" s="433"/>
      <c r="N36" s="433"/>
      <c r="O36" s="433"/>
      <c r="P36" s="434"/>
    </row>
    <row r="37" spans="1:16">
      <c r="A37" s="49">
        <v>8029</v>
      </c>
      <c r="B37" s="407"/>
      <c r="C37" s="408"/>
      <c r="D37" s="408"/>
      <c r="E37" s="408"/>
      <c r="F37" s="408"/>
      <c r="G37" s="408"/>
      <c r="H37" s="409"/>
      <c r="I37" s="427"/>
      <c r="J37" s="428"/>
      <c r="K37" s="432"/>
      <c r="L37" s="433"/>
      <c r="M37" s="433"/>
      <c r="N37" s="433"/>
      <c r="O37" s="433"/>
      <c r="P37" s="434"/>
    </row>
    <row r="38" spans="1:16" ht="15.75" thickBot="1">
      <c r="A38" s="50">
        <v>8030</v>
      </c>
      <c r="B38" s="407"/>
      <c r="C38" s="408"/>
      <c r="D38" s="408"/>
      <c r="E38" s="408"/>
      <c r="F38" s="408"/>
      <c r="G38" s="408"/>
      <c r="H38" s="409"/>
      <c r="I38" s="427"/>
      <c r="J38" s="428"/>
      <c r="K38" s="432"/>
      <c r="L38" s="433"/>
      <c r="M38" s="433"/>
      <c r="N38" s="433"/>
      <c r="O38" s="433"/>
      <c r="P38" s="434"/>
    </row>
    <row r="39" spans="1:16" ht="15.75" thickTop="1">
      <c r="A39" s="51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3"/>
    </row>
    <row r="40" spans="1:16">
      <c r="A40" s="54" t="s">
        <v>22</v>
      </c>
      <c r="B40" s="55"/>
      <c r="C40" s="55"/>
      <c r="D40" s="56"/>
      <c r="E40" s="56"/>
      <c r="F40" s="56"/>
      <c r="G40" s="56"/>
      <c r="H40" s="56"/>
      <c r="I40" s="57"/>
      <c r="J40" s="57"/>
      <c r="K40" s="57"/>
      <c r="L40" s="57"/>
      <c r="M40" s="57"/>
      <c r="N40" s="57"/>
      <c r="O40" s="57"/>
      <c r="P40" s="58"/>
    </row>
    <row r="41" spans="1:16">
      <c r="A41" s="59"/>
      <c r="B41" s="60" t="s">
        <v>23</v>
      </c>
      <c r="C41" s="60"/>
      <c r="D41" s="52"/>
      <c r="E41" s="52"/>
      <c r="F41" s="52"/>
      <c r="G41" s="52"/>
      <c r="H41" s="52"/>
      <c r="I41" s="61"/>
      <c r="J41" s="61"/>
      <c r="K41" s="61"/>
      <c r="L41" s="61"/>
      <c r="M41" s="61"/>
      <c r="N41" s="61"/>
      <c r="O41" s="61"/>
      <c r="P41" s="62"/>
    </row>
    <row r="42" spans="1:16">
      <c r="A42" s="59"/>
      <c r="B42" s="63"/>
      <c r="C42" s="60"/>
      <c r="D42" s="52"/>
      <c r="E42" s="52"/>
      <c r="F42" s="52"/>
      <c r="G42" s="52"/>
      <c r="H42" s="52"/>
      <c r="I42" s="61"/>
      <c r="J42" s="61"/>
      <c r="K42" s="61"/>
      <c r="L42" s="61"/>
      <c r="M42" s="61"/>
      <c r="N42" s="61"/>
      <c r="O42" s="61"/>
      <c r="P42" s="62"/>
    </row>
    <row r="43" spans="1:16">
      <c r="A43" s="472"/>
      <c r="B43" s="473"/>
      <c r="C43" s="473"/>
      <c r="D43" s="473"/>
      <c r="E43" s="473"/>
      <c r="F43" s="473"/>
      <c r="G43" s="473"/>
      <c r="H43" s="473"/>
      <c r="I43" s="473"/>
      <c r="J43" s="473"/>
      <c r="K43" s="473"/>
      <c r="L43" s="473"/>
      <c r="M43" s="473"/>
      <c r="N43" s="473"/>
      <c r="O43" s="473"/>
      <c r="P43" s="474"/>
    </row>
    <row r="44" spans="1:16">
      <c r="A44" s="475"/>
      <c r="B44" s="473"/>
      <c r="C44" s="473"/>
      <c r="D44" s="473"/>
      <c r="E44" s="473"/>
      <c r="F44" s="473"/>
      <c r="G44" s="473"/>
      <c r="H44" s="473"/>
      <c r="I44" s="473"/>
      <c r="J44" s="473"/>
      <c r="K44" s="473"/>
      <c r="L44" s="473"/>
      <c r="M44" s="473"/>
      <c r="N44" s="473"/>
      <c r="O44" s="473"/>
      <c r="P44" s="474"/>
    </row>
    <row r="45" spans="1:16" ht="15.75" thickBot="1">
      <c r="A45" s="476"/>
      <c r="B45" s="477"/>
      <c r="C45" s="477"/>
      <c r="D45" s="477"/>
      <c r="E45" s="477"/>
      <c r="F45" s="477"/>
      <c r="G45" s="477"/>
      <c r="H45" s="477"/>
      <c r="I45" s="477"/>
      <c r="J45" s="477"/>
      <c r="K45" s="477"/>
      <c r="L45" s="477"/>
      <c r="M45" s="477"/>
      <c r="N45" s="477"/>
      <c r="O45" s="477"/>
      <c r="P45" s="478"/>
    </row>
    <row r="46" spans="1:16">
      <c r="A46" s="64" t="s">
        <v>24</v>
      </c>
      <c r="B46" s="64"/>
      <c r="C46" s="64"/>
      <c r="D46" s="65"/>
      <c r="E46" s="65"/>
      <c r="F46" s="65"/>
      <c r="G46" s="65"/>
      <c r="H46" s="65"/>
      <c r="I46" s="66"/>
      <c r="J46" s="66"/>
      <c r="K46" s="66"/>
      <c r="L46" s="66"/>
      <c r="M46" s="66"/>
      <c r="N46" s="66"/>
      <c r="O46" s="66"/>
      <c r="P46" s="66"/>
    </row>
  </sheetData>
  <mergeCells count="78">
    <mergeCell ref="B19:H19"/>
    <mergeCell ref="I19:J19"/>
    <mergeCell ref="K19:P19"/>
    <mergeCell ref="K32:P32"/>
    <mergeCell ref="I33:J33"/>
    <mergeCell ref="K33:P33"/>
    <mergeCell ref="B20:H20"/>
    <mergeCell ref="I20:J20"/>
    <mergeCell ref="K20:P20"/>
    <mergeCell ref="K22:P22"/>
    <mergeCell ref="I25:J25"/>
    <mergeCell ref="K25:P25"/>
    <mergeCell ref="I26:J26"/>
    <mergeCell ref="K26:P26"/>
    <mergeCell ref="I24:J24"/>
    <mergeCell ref="K24:P24"/>
    <mergeCell ref="B38:H38"/>
    <mergeCell ref="I38:J38"/>
    <mergeCell ref="K38:P38"/>
    <mergeCell ref="A43:P45"/>
    <mergeCell ref="B36:H36"/>
    <mergeCell ref="I36:J36"/>
    <mergeCell ref="K36:P36"/>
    <mergeCell ref="B37:H37"/>
    <mergeCell ref="I37:J37"/>
    <mergeCell ref="K37:P37"/>
    <mergeCell ref="B35:H35"/>
    <mergeCell ref="I27:J27"/>
    <mergeCell ref="K27:P27"/>
    <mergeCell ref="I28:J28"/>
    <mergeCell ref="K28:P28"/>
    <mergeCell ref="I29:J29"/>
    <mergeCell ref="K29:P29"/>
    <mergeCell ref="I35:J35"/>
    <mergeCell ref="K35:P35"/>
    <mergeCell ref="I30:J30"/>
    <mergeCell ref="K30:P30"/>
    <mergeCell ref="I31:J31"/>
    <mergeCell ref="K31:P31"/>
    <mergeCell ref="I34:J34"/>
    <mergeCell ref="K34:P34"/>
    <mergeCell ref="I32:J32"/>
    <mergeCell ref="N16:P16"/>
    <mergeCell ref="B18:H18"/>
    <mergeCell ref="I18:J18"/>
    <mergeCell ref="N7:O7"/>
    <mergeCell ref="I11:J11"/>
    <mergeCell ref="N11:P11"/>
    <mergeCell ref="I12:J12"/>
    <mergeCell ref="N12:P12"/>
    <mergeCell ref="I10:J10"/>
    <mergeCell ref="I13:J13"/>
    <mergeCell ref="N13:P13"/>
    <mergeCell ref="I14:J14"/>
    <mergeCell ref="N14:P14"/>
    <mergeCell ref="I15:J15"/>
    <mergeCell ref="N15:P15"/>
    <mergeCell ref="A2:L2"/>
    <mergeCell ref="A3:B3"/>
    <mergeCell ref="C3:L3"/>
    <mergeCell ref="A4:B4"/>
    <mergeCell ref="C4:L4"/>
    <mergeCell ref="B34:H34"/>
    <mergeCell ref="A5:B5"/>
    <mergeCell ref="C5:L5"/>
    <mergeCell ref="A6:B6"/>
    <mergeCell ref="C6:L6"/>
    <mergeCell ref="C7:H7"/>
    <mergeCell ref="I7:L7"/>
    <mergeCell ref="I16:J16"/>
    <mergeCell ref="B23:H23"/>
    <mergeCell ref="I23:J23"/>
    <mergeCell ref="K23:P23"/>
    <mergeCell ref="B21:H21"/>
    <mergeCell ref="I21:J21"/>
    <mergeCell ref="K21:P21"/>
    <mergeCell ref="B22:H22"/>
    <mergeCell ref="I22:J22"/>
  </mergeCells>
  <conditionalFormatting sqref="I16:J16">
    <cfRule type="expression" dxfId="43" priority="1">
      <formula>$I$16=""</formula>
    </cfRule>
  </conditionalFormatting>
  <dataValidations count="4">
    <dataValidation allowBlank="1" showInputMessage="1" showErrorMessage="1" promptTitle="Zadej měsíc" prompt="1 - 12" sqref="I11:I16 M12:M16"/>
    <dataValidation type="whole" allowBlank="1" showInputMessage="1" showErrorMessage="1" promptTitle="Zadej rok" prompt="1980 - 2015" sqref="N11:P16 J12:J16 K11:L16">
      <formula1>1980</formula1>
      <formula2>2015</formula2>
    </dataValidation>
    <dataValidation type="textLength" operator="equal" allowBlank="1" showInputMessage="1" showErrorMessage="1" errorTitle="Chyba " error="Rodné číslo musí mít 6 znaků_x000a_" sqref="I7:L7">
      <formula1>6</formula1>
    </dataValidation>
    <dataValidation type="textLength" operator="lessThan" allowBlank="1" showInputMessage="1" showErrorMessage="1" errorTitle="Příliš dlouhý text !" error="Maximální délka textu je 100 znaků včetně mezer." sqref="A5">
      <formula1>151</formula1>
    </dataValidation>
  </dataValidations>
  <pageMargins left="0.70866141732283472" right="0.70866141732283472" top="0.78740157480314965" bottom="0.78740157480314965" header="0.31496062992125984" footer="0.31496062992125984"/>
  <pageSetup paperSize="9" scale="62" fitToHeight="99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P95"/>
  <sheetViews>
    <sheetView topLeftCell="B1" zoomScaleNormal="100" workbookViewId="0">
      <selection activeCell="H22" sqref="H22"/>
    </sheetView>
  </sheetViews>
  <sheetFormatPr defaultRowHeight="15"/>
  <cols>
    <col min="4" max="4" width="38" customWidth="1"/>
    <col min="5" max="5" width="9.140625" customWidth="1"/>
    <col min="15" max="15" width="12.140625" customWidth="1"/>
  </cols>
  <sheetData>
    <row r="1" spans="1:16" ht="15.75" thickBot="1"/>
    <row r="2" spans="1:16" ht="15.75">
      <c r="A2" s="495" t="s">
        <v>25</v>
      </c>
      <c r="B2" s="496"/>
      <c r="C2" s="496"/>
      <c r="D2" s="496"/>
      <c r="E2" s="496"/>
      <c r="F2" s="496"/>
      <c r="G2" s="496"/>
      <c r="H2" s="496"/>
      <c r="I2" s="496"/>
      <c r="J2" s="496"/>
      <c r="K2" s="499" t="s">
        <v>26</v>
      </c>
      <c r="L2" s="500"/>
      <c r="M2" s="503" t="s">
        <v>27</v>
      </c>
      <c r="N2" s="504"/>
    </row>
    <row r="3" spans="1:16" ht="19.5" thickBot="1">
      <c r="A3" s="497"/>
      <c r="B3" s="498"/>
      <c r="C3" s="498"/>
      <c r="D3" s="498"/>
      <c r="E3" s="498"/>
      <c r="F3" s="498"/>
      <c r="G3" s="498"/>
      <c r="H3" s="498"/>
      <c r="I3" s="498"/>
      <c r="J3" s="498"/>
      <c r="K3" s="501"/>
      <c r="L3" s="502"/>
      <c r="M3" s="382">
        <v>2011</v>
      </c>
      <c r="N3" s="383">
        <v>-2031</v>
      </c>
    </row>
    <row r="4" spans="1:16">
      <c r="A4" s="442" t="s">
        <v>2</v>
      </c>
      <c r="B4" s="443"/>
      <c r="C4" s="505" t="str">
        <f>'80'!C4:L4</f>
        <v>Modernizace železničního uzlu Ostrava</v>
      </c>
      <c r="D4" s="506"/>
      <c r="E4" s="506"/>
      <c r="F4" s="506"/>
      <c r="G4" s="506"/>
      <c r="H4" s="506"/>
      <c r="I4" s="506"/>
      <c r="J4" s="506"/>
      <c r="K4" s="506"/>
      <c r="L4" s="507"/>
      <c r="M4" s="7"/>
      <c r="N4" s="69"/>
    </row>
    <row r="5" spans="1:16" ht="15.75">
      <c r="A5" s="410" t="s">
        <v>3</v>
      </c>
      <c r="B5" s="411"/>
      <c r="C5" s="412">
        <f>'80'!C5:L5</f>
        <v>5813520009</v>
      </c>
      <c r="D5" s="413"/>
      <c r="E5" s="413"/>
      <c r="F5" s="413"/>
      <c r="G5" s="413"/>
      <c r="H5" s="413"/>
      <c r="I5" s="413"/>
      <c r="J5" s="413"/>
      <c r="K5" s="413"/>
      <c r="L5" s="414"/>
      <c r="M5" s="10"/>
      <c r="N5" s="9"/>
    </row>
    <row r="6" spans="1:16" ht="16.5" thickBot="1">
      <c r="A6" s="415" t="s">
        <v>4</v>
      </c>
      <c r="B6" s="416"/>
      <c r="C6" s="490" t="str">
        <f>'80'!C6:L6</f>
        <v>Správa železnic, státní organizace</v>
      </c>
      <c r="D6" s="491"/>
      <c r="E6" s="491"/>
      <c r="F6" s="491"/>
      <c r="G6" s="491"/>
      <c r="H6" s="491"/>
      <c r="I6" s="491"/>
      <c r="J6" s="491"/>
      <c r="K6" s="491"/>
      <c r="L6" s="492"/>
      <c r="M6" s="10"/>
      <c r="N6" s="9"/>
    </row>
    <row r="7" spans="1:16" ht="16.5" thickTop="1">
      <c r="A7" s="70"/>
      <c r="B7" s="71"/>
      <c r="C7" s="493"/>
      <c r="D7" s="494"/>
      <c r="E7" s="72" t="s">
        <v>29</v>
      </c>
      <c r="F7" s="73" t="s">
        <v>29</v>
      </c>
      <c r="G7" s="74" t="s">
        <v>30</v>
      </c>
      <c r="H7" s="75" t="s">
        <v>31</v>
      </c>
      <c r="I7" s="76" t="s">
        <v>32</v>
      </c>
      <c r="J7" s="77"/>
      <c r="K7" s="77"/>
      <c r="L7" s="78"/>
      <c r="M7" s="79" t="s">
        <v>33</v>
      </c>
      <c r="N7" s="80" t="s">
        <v>34</v>
      </c>
    </row>
    <row r="8" spans="1:16" ht="16.5" thickBot="1">
      <c r="A8" s="81"/>
      <c r="B8" s="82"/>
      <c r="C8" s="83"/>
      <c r="D8" s="84" t="s">
        <v>35</v>
      </c>
      <c r="E8" s="85" t="s">
        <v>36</v>
      </c>
      <c r="F8" s="86" t="s">
        <v>36</v>
      </c>
      <c r="G8" s="85" t="s">
        <v>37</v>
      </c>
      <c r="H8" s="87" t="s">
        <v>38</v>
      </c>
      <c r="I8" s="88" t="s">
        <v>39</v>
      </c>
      <c r="J8" s="89" t="s">
        <v>40</v>
      </c>
      <c r="K8" s="90" t="s">
        <v>40</v>
      </c>
      <c r="L8" s="88" t="s">
        <v>40</v>
      </c>
      <c r="M8" s="85" t="s">
        <v>41</v>
      </c>
      <c r="N8" s="91" t="s">
        <v>42</v>
      </c>
    </row>
    <row r="9" spans="1:16" ht="16.5" thickBot="1">
      <c r="A9" s="92" t="s">
        <v>43</v>
      </c>
      <c r="B9" s="93"/>
      <c r="C9" s="94" t="s">
        <v>44</v>
      </c>
      <c r="D9" s="95"/>
      <c r="E9" s="96">
        <f>$F$9-1</f>
        <v>2018</v>
      </c>
      <c r="F9" s="97">
        <f>$G$9-1</f>
        <v>2019</v>
      </c>
      <c r="G9" s="98">
        <f>IF('[2]Krycí list SR'!$F$4="",0,'[2]Krycí list SR'!$F$4)</f>
        <v>2020</v>
      </c>
      <c r="H9" s="99">
        <f>IF('[2]Krycí list SR'!$F$4="",0,'[2]Krycí list SR'!$F$4)</f>
        <v>2020</v>
      </c>
      <c r="I9" s="100">
        <f>$G$9+1</f>
        <v>2021</v>
      </c>
      <c r="J9" s="100">
        <f>$G$9+2</f>
        <v>2022</v>
      </c>
      <c r="K9" s="100">
        <f>$G$9+3</f>
        <v>2023</v>
      </c>
      <c r="L9" s="100">
        <f>$G$9+4</f>
        <v>2024</v>
      </c>
      <c r="M9" s="100">
        <f>$G$9+5</f>
        <v>2025</v>
      </c>
      <c r="N9" s="101" t="s">
        <v>45</v>
      </c>
    </row>
    <row r="10" spans="1:16" ht="17.25" thickTop="1" thickBot="1">
      <c r="A10" s="102"/>
      <c r="B10" s="103"/>
      <c r="C10" s="103"/>
      <c r="D10" s="103"/>
      <c r="E10" s="104"/>
      <c r="F10" s="104"/>
      <c r="G10" s="104"/>
      <c r="H10" s="105"/>
      <c r="I10" s="104"/>
      <c r="J10" s="104"/>
      <c r="K10" s="104"/>
      <c r="L10" s="104"/>
      <c r="M10" s="104"/>
      <c r="N10" s="106"/>
    </row>
    <row r="11" spans="1:16">
      <c r="A11" s="107">
        <v>8121</v>
      </c>
      <c r="B11" s="108">
        <v>1</v>
      </c>
      <c r="C11" s="109" t="s">
        <v>46</v>
      </c>
      <c r="D11" s="110"/>
      <c r="E11" s="111">
        <v>0.67621034000000002</v>
      </c>
      <c r="F11" s="112">
        <v>0.47510787999999998</v>
      </c>
      <c r="G11" s="112">
        <f>0.43519198+0.0396</f>
        <v>0.47479198</v>
      </c>
      <c r="H11" s="113"/>
      <c r="I11" s="112">
        <v>15</v>
      </c>
      <c r="J11" s="112">
        <v>15</v>
      </c>
      <c r="K11" s="112">
        <v>15</v>
      </c>
      <c r="L11" s="114">
        <v>20</v>
      </c>
      <c r="M11" s="115">
        <f>528.1014+173.9135-0.0396</f>
        <v>701.97530000000006</v>
      </c>
      <c r="N11" s="372">
        <f t="shared" ref="N11:N48" si="0">SUM(E11:M11)-H11</f>
        <v>768.60141020000003</v>
      </c>
      <c r="O11" s="405">
        <v>768.60140000000001</v>
      </c>
      <c r="P11" s="404">
        <f>N11-O11</f>
        <v>1.0200000019722211E-5</v>
      </c>
    </row>
    <row r="12" spans="1:16">
      <c r="A12" s="116"/>
      <c r="B12" s="117">
        <v>2</v>
      </c>
      <c r="C12" s="118" t="s">
        <v>47</v>
      </c>
      <c r="D12" s="119"/>
      <c r="E12" s="120">
        <f>13.2148+0.1555</f>
        <v>13.3703</v>
      </c>
      <c r="F12" s="121">
        <v>27.914999999999999</v>
      </c>
      <c r="G12" s="122">
        <v>0.68</v>
      </c>
      <c r="H12" s="123"/>
      <c r="I12" s="122">
        <f>450-0.155</f>
        <v>449.84500000000003</v>
      </c>
      <c r="J12" s="122">
        <v>424</v>
      </c>
      <c r="K12" s="122">
        <v>424</v>
      </c>
      <c r="L12" s="124">
        <f>234.603+48.1905</f>
        <v>282.79349999999999</v>
      </c>
      <c r="M12" s="125">
        <v>0</v>
      </c>
      <c r="N12" s="352">
        <f t="shared" si="0"/>
        <v>1622.6038000000001</v>
      </c>
      <c r="O12" s="405">
        <v>1622.6030000000001</v>
      </c>
      <c r="P12" s="404">
        <f>N12-O12</f>
        <v>8.0000000002655725E-4</v>
      </c>
    </row>
    <row r="13" spans="1:16">
      <c r="A13" s="116"/>
      <c r="B13" s="117">
        <v>3</v>
      </c>
      <c r="C13" s="118" t="s">
        <v>48</v>
      </c>
      <c r="D13" s="119"/>
      <c r="E13" s="120">
        <v>0</v>
      </c>
      <c r="F13" s="121">
        <v>0</v>
      </c>
      <c r="G13" s="122">
        <v>0</v>
      </c>
      <c r="H13" s="123"/>
      <c r="I13" s="122">
        <v>0</v>
      </c>
      <c r="J13" s="122">
        <v>0</v>
      </c>
      <c r="K13" s="122">
        <v>0</v>
      </c>
      <c r="L13" s="124">
        <v>50</v>
      </c>
      <c r="M13" s="125">
        <v>0</v>
      </c>
      <c r="N13" s="352">
        <f t="shared" si="0"/>
        <v>50</v>
      </c>
      <c r="O13" s="405">
        <v>50</v>
      </c>
      <c r="P13" s="404">
        <f t="shared" ref="P13:P15" si="1">N13-O13</f>
        <v>0</v>
      </c>
    </row>
    <row r="14" spans="1:16">
      <c r="A14" s="116"/>
      <c r="B14" s="117">
        <v>4</v>
      </c>
      <c r="C14" s="118" t="s">
        <v>49</v>
      </c>
      <c r="D14" s="119"/>
      <c r="E14" s="120">
        <v>0</v>
      </c>
      <c r="F14" s="121">
        <v>0</v>
      </c>
      <c r="G14" s="122">
        <v>0</v>
      </c>
      <c r="H14" s="123"/>
      <c r="I14" s="122">
        <v>0</v>
      </c>
      <c r="J14" s="122">
        <v>0</v>
      </c>
      <c r="K14" s="122">
        <v>0</v>
      </c>
      <c r="L14" s="124">
        <v>50</v>
      </c>
      <c r="M14" s="125">
        <v>0</v>
      </c>
      <c r="N14" s="352">
        <f t="shared" si="0"/>
        <v>50</v>
      </c>
      <c r="O14" s="405">
        <v>50</v>
      </c>
      <c r="P14" s="404">
        <f t="shared" si="1"/>
        <v>0</v>
      </c>
    </row>
    <row r="15" spans="1:16">
      <c r="A15" s="116"/>
      <c r="B15" s="117">
        <v>9</v>
      </c>
      <c r="C15" s="127" t="s">
        <v>50</v>
      </c>
      <c r="D15" s="128"/>
      <c r="E15" s="120">
        <v>6.6184E-3</v>
      </c>
      <c r="F15" s="121">
        <v>2.2240000000000001E-4</v>
      </c>
      <c r="G15" s="122">
        <v>0</v>
      </c>
      <c r="H15" s="123"/>
      <c r="I15" s="122">
        <v>0</v>
      </c>
      <c r="J15" s="122">
        <v>0</v>
      </c>
      <c r="K15" s="122">
        <v>0</v>
      </c>
      <c r="L15" s="124">
        <v>150</v>
      </c>
      <c r="M15" s="125">
        <f>70+0.793</f>
        <v>70.793000000000006</v>
      </c>
      <c r="N15" s="353">
        <f>SUM($E$15:$M$15)-$H$15</f>
        <v>220.7998408</v>
      </c>
      <c r="O15" s="405">
        <v>220.8</v>
      </c>
      <c r="P15" s="404">
        <f t="shared" si="1"/>
        <v>-1.592000000130156E-4</v>
      </c>
    </row>
    <row r="16" spans="1:16" ht="15.75" thickBot="1">
      <c r="A16" s="129">
        <v>8121</v>
      </c>
      <c r="B16" s="130" t="s">
        <v>51</v>
      </c>
      <c r="C16" s="131" t="s">
        <v>52</v>
      </c>
      <c r="D16" s="132"/>
      <c r="E16" s="133">
        <f t="shared" ref="E16:L16" si="2">SUM(E11:E15)</f>
        <v>14.053128740000002</v>
      </c>
      <c r="F16" s="134">
        <f t="shared" si="2"/>
        <v>28.390330279999997</v>
      </c>
      <c r="G16" s="134">
        <f t="shared" si="2"/>
        <v>1.1547919800000002</v>
      </c>
      <c r="H16" s="135">
        <f t="shared" si="2"/>
        <v>0</v>
      </c>
      <c r="I16" s="134">
        <f t="shared" si="2"/>
        <v>464.84500000000003</v>
      </c>
      <c r="J16" s="134">
        <f t="shared" si="2"/>
        <v>439</v>
      </c>
      <c r="K16" s="134">
        <f t="shared" si="2"/>
        <v>439</v>
      </c>
      <c r="L16" s="136">
        <f t="shared" si="2"/>
        <v>552.79349999999999</v>
      </c>
      <c r="M16" s="137">
        <f>SUM(M11:M15)</f>
        <v>772.76830000000007</v>
      </c>
      <c r="N16" s="138">
        <f t="shared" si="0"/>
        <v>2712.0050510000001</v>
      </c>
      <c r="O16" s="405">
        <v>2712.0043999999998</v>
      </c>
    </row>
    <row r="17" spans="1:14">
      <c r="A17" s="139">
        <v>8124</v>
      </c>
      <c r="B17" s="140"/>
      <c r="C17" s="141" t="s">
        <v>53</v>
      </c>
      <c r="D17" s="142"/>
      <c r="E17" s="378">
        <v>0</v>
      </c>
      <c r="F17" s="144">
        <v>0</v>
      </c>
      <c r="G17" s="144">
        <v>0</v>
      </c>
      <c r="H17" s="145"/>
      <c r="I17" s="144">
        <v>0</v>
      </c>
      <c r="J17" s="144">
        <v>0</v>
      </c>
      <c r="K17" s="144">
        <v>0</v>
      </c>
      <c r="L17" s="374">
        <v>0</v>
      </c>
      <c r="M17" s="370">
        <v>12541.370569999999</v>
      </c>
      <c r="N17" s="375">
        <f>SUM($E$17:$M$17)-$H$17</f>
        <v>12541.370569999999</v>
      </c>
    </row>
    <row r="18" spans="1:14" ht="15.75" thickBot="1">
      <c r="A18" s="129">
        <v>8125</v>
      </c>
      <c r="B18" s="130"/>
      <c r="C18" s="131" t="s">
        <v>54</v>
      </c>
      <c r="D18" s="132"/>
      <c r="E18" s="379">
        <v>0</v>
      </c>
      <c r="F18" s="148">
        <v>0</v>
      </c>
      <c r="G18" s="149">
        <v>0</v>
      </c>
      <c r="H18" s="150"/>
      <c r="I18" s="149">
        <v>0</v>
      </c>
      <c r="J18" s="149">
        <v>0</v>
      </c>
      <c r="K18" s="149">
        <v>0</v>
      </c>
      <c r="L18" s="151">
        <v>0</v>
      </c>
      <c r="M18" s="381">
        <v>8048.8022819999996</v>
      </c>
      <c r="N18" s="138">
        <f>SUM($E$18:$M$18)-$H$18</f>
        <v>8048.8022819999996</v>
      </c>
    </row>
    <row r="19" spans="1:14">
      <c r="A19" s="107">
        <v>8126</v>
      </c>
      <c r="B19" s="108">
        <v>1</v>
      </c>
      <c r="C19" s="109" t="s">
        <v>55</v>
      </c>
      <c r="D19" s="110"/>
      <c r="E19" s="114"/>
      <c r="F19" s="112"/>
      <c r="G19" s="153"/>
      <c r="H19" s="113"/>
      <c r="I19" s="153"/>
      <c r="J19" s="153"/>
      <c r="K19" s="153"/>
      <c r="L19" s="114"/>
      <c r="M19" s="115"/>
      <c r="N19" s="372">
        <f t="shared" si="0"/>
        <v>0</v>
      </c>
    </row>
    <row r="20" spans="1:14">
      <c r="A20" s="116"/>
      <c r="B20" s="117">
        <v>2</v>
      </c>
      <c r="C20" s="118" t="s">
        <v>56</v>
      </c>
      <c r="D20" s="119"/>
      <c r="E20" s="124"/>
      <c r="F20" s="121"/>
      <c r="G20" s="122"/>
      <c r="H20" s="123"/>
      <c r="I20" s="122"/>
      <c r="J20" s="122"/>
      <c r="K20" s="122"/>
      <c r="L20" s="124"/>
      <c r="M20" s="125"/>
      <c r="N20" s="126">
        <f t="shared" si="0"/>
        <v>0</v>
      </c>
    </row>
    <row r="21" spans="1:14">
      <c r="A21" s="116"/>
      <c r="B21" s="117">
        <v>3</v>
      </c>
      <c r="C21" s="118" t="s">
        <v>57</v>
      </c>
      <c r="D21" s="119"/>
      <c r="E21" s="124"/>
      <c r="F21" s="121"/>
      <c r="G21" s="122"/>
      <c r="H21" s="123"/>
      <c r="I21" s="122"/>
      <c r="J21" s="122"/>
      <c r="K21" s="122"/>
      <c r="L21" s="124"/>
      <c r="M21" s="125"/>
      <c r="N21" s="126">
        <f t="shared" si="0"/>
        <v>0</v>
      </c>
    </row>
    <row r="22" spans="1:14">
      <c r="A22" s="116"/>
      <c r="B22" s="117">
        <v>4</v>
      </c>
      <c r="C22" s="118" t="s">
        <v>58</v>
      </c>
      <c r="D22" s="119"/>
      <c r="E22" s="124"/>
      <c r="F22" s="121"/>
      <c r="G22" s="122"/>
      <c r="H22" s="123"/>
      <c r="I22" s="122"/>
      <c r="J22" s="122"/>
      <c r="K22" s="122"/>
      <c r="L22" s="124"/>
      <c r="M22" s="125"/>
      <c r="N22" s="126">
        <f t="shared" si="0"/>
        <v>0</v>
      </c>
    </row>
    <row r="23" spans="1:14">
      <c r="A23" s="116"/>
      <c r="B23" s="117">
        <v>9</v>
      </c>
      <c r="C23" s="127" t="s">
        <v>59</v>
      </c>
      <c r="D23" s="128"/>
      <c r="E23" s="154"/>
      <c r="F23" s="155"/>
      <c r="G23" s="156"/>
      <c r="H23" s="157"/>
      <c r="I23" s="156"/>
      <c r="J23" s="156"/>
      <c r="K23" s="156"/>
      <c r="L23" s="154"/>
      <c r="M23" s="146"/>
      <c r="N23" s="373">
        <f t="shared" si="0"/>
        <v>0</v>
      </c>
    </row>
    <row r="24" spans="1:14" ht="15.75" thickBot="1">
      <c r="A24" s="129">
        <v>8126</v>
      </c>
      <c r="B24" s="130" t="s">
        <v>51</v>
      </c>
      <c r="C24" s="131" t="s">
        <v>60</v>
      </c>
      <c r="D24" s="132"/>
      <c r="E24" s="133">
        <f t="shared" ref="E24:M24" si="3">SUM(E19:E23)</f>
        <v>0</v>
      </c>
      <c r="F24" s="134">
        <f t="shared" si="3"/>
        <v>0</v>
      </c>
      <c r="G24" s="158">
        <f t="shared" si="3"/>
        <v>0</v>
      </c>
      <c r="H24" s="159">
        <f t="shared" si="3"/>
        <v>0</v>
      </c>
      <c r="I24" s="158">
        <f t="shared" si="3"/>
        <v>0</v>
      </c>
      <c r="J24" s="158">
        <f t="shared" si="3"/>
        <v>0</v>
      </c>
      <c r="K24" s="158">
        <f t="shared" si="3"/>
        <v>0</v>
      </c>
      <c r="L24" s="133">
        <f t="shared" si="3"/>
        <v>0</v>
      </c>
      <c r="M24" s="160">
        <f t="shared" si="3"/>
        <v>0</v>
      </c>
      <c r="N24" s="138">
        <f t="shared" si="0"/>
        <v>0</v>
      </c>
    </row>
    <row r="25" spans="1:14">
      <c r="A25" s="116">
        <v>8127</v>
      </c>
      <c r="B25" s="117">
        <v>1</v>
      </c>
      <c r="C25" s="118" t="s">
        <v>61</v>
      </c>
      <c r="D25" s="119"/>
      <c r="E25" s="124"/>
      <c r="F25" s="121"/>
      <c r="G25" s="122"/>
      <c r="H25" s="123"/>
      <c r="I25" s="122"/>
      <c r="J25" s="122"/>
      <c r="K25" s="122"/>
      <c r="L25" s="124"/>
      <c r="M25" s="125"/>
      <c r="N25" s="126">
        <f t="shared" si="0"/>
        <v>0</v>
      </c>
    </row>
    <row r="26" spans="1:14">
      <c r="A26" s="116"/>
      <c r="B26" s="117">
        <v>2</v>
      </c>
      <c r="C26" s="118" t="s">
        <v>62</v>
      </c>
      <c r="D26" s="119"/>
      <c r="E26" s="124"/>
      <c r="F26" s="121"/>
      <c r="G26" s="122"/>
      <c r="H26" s="123"/>
      <c r="I26" s="122"/>
      <c r="J26" s="122"/>
      <c r="K26" s="122"/>
      <c r="L26" s="124"/>
      <c r="M26" s="125"/>
      <c r="N26" s="126">
        <f t="shared" si="0"/>
        <v>0</v>
      </c>
    </row>
    <row r="27" spans="1:14">
      <c r="A27" s="116"/>
      <c r="B27" s="117">
        <v>3</v>
      </c>
      <c r="C27" s="118" t="s">
        <v>63</v>
      </c>
      <c r="D27" s="119"/>
      <c r="E27" s="124"/>
      <c r="F27" s="121"/>
      <c r="G27" s="122"/>
      <c r="H27" s="123"/>
      <c r="I27" s="122"/>
      <c r="J27" s="122"/>
      <c r="K27" s="122"/>
      <c r="L27" s="124"/>
      <c r="M27" s="125"/>
      <c r="N27" s="126">
        <f t="shared" si="0"/>
        <v>0</v>
      </c>
    </row>
    <row r="28" spans="1:14">
      <c r="A28" s="116"/>
      <c r="B28" s="117">
        <v>9</v>
      </c>
      <c r="C28" s="161" t="s">
        <v>64</v>
      </c>
      <c r="D28" s="162"/>
      <c r="E28" s="163"/>
      <c r="F28" s="164"/>
      <c r="G28" s="165"/>
      <c r="H28" s="166"/>
      <c r="I28" s="165"/>
      <c r="J28" s="165"/>
      <c r="K28" s="165"/>
      <c r="L28" s="163"/>
      <c r="M28" s="167"/>
      <c r="N28" s="168">
        <f t="shared" si="0"/>
        <v>0</v>
      </c>
    </row>
    <row r="29" spans="1:14" ht="15.75" thickBot="1">
      <c r="A29" s="129">
        <v>8127</v>
      </c>
      <c r="B29" s="130" t="s">
        <v>51</v>
      </c>
      <c r="C29" s="131" t="s">
        <v>65</v>
      </c>
      <c r="D29" s="132"/>
      <c r="E29" s="133">
        <f t="shared" ref="E29:M29" si="4">SUM(E25:E28)</f>
        <v>0</v>
      </c>
      <c r="F29" s="134">
        <f t="shared" si="4"/>
        <v>0</v>
      </c>
      <c r="G29" s="158">
        <f t="shared" si="4"/>
        <v>0</v>
      </c>
      <c r="H29" s="159">
        <f t="shared" si="4"/>
        <v>0</v>
      </c>
      <c r="I29" s="158">
        <f t="shared" si="4"/>
        <v>0</v>
      </c>
      <c r="J29" s="158">
        <f t="shared" si="4"/>
        <v>0</v>
      </c>
      <c r="K29" s="158">
        <f t="shared" si="4"/>
        <v>0</v>
      </c>
      <c r="L29" s="133">
        <f t="shared" si="4"/>
        <v>0</v>
      </c>
      <c r="M29" s="160">
        <f t="shared" si="4"/>
        <v>0</v>
      </c>
      <c r="N29" s="138">
        <f t="shared" si="0"/>
        <v>0</v>
      </c>
    </row>
    <row r="30" spans="1:14">
      <c r="A30" s="116">
        <v>8128</v>
      </c>
      <c r="B30" s="117">
        <v>1</v>
      </c>
      <c r="C30" s="169" t="s">
        <v>66</v>
      </c>
      <c r="D30" s="119"/>
      <c r="E30" s="170"/>
      <c r="F30" s="171"/>
      <c r="G30" s="172"/>
      <c r="H30" s="173"/>
      <c r="I30" s="172"/>
      <c r="J30" s="172"/>
      <c r="K30" s="122"/>
      <c r="L30" s="124"/>
      <c r="M30" s="125"/>
      <c r="N30" s="126">
        <f t="shared" si="0"/>
        <v>0</v>
      </c>
    </row>
    <row r="31" spans="1:14">
      <c r="A31" s="116"/>
      <c r="B31" s="117">
        <v>2</v>
      </c>
      <c r="C31" s="174" t="s">
        <v>67</v>
      </c>
      <c r="D31" s="119"/>
      <c r="E31" s="170"/>
      <c r="F31" s="171"/>
      <c r="G31" s="172"/>
      <c r="H31" s="173"/>
      <c r="I31" s="172"/>
      <c r="J31" s="172"/>
      <c r="K31" s="122"/>
      <c r="L31" s="124"/>
      <c r="M31" s="125"/>
      <c r="N31" s="126">
        <f t="shared" si="0"/>
        <v>0</v>
      </c>
    </row>
    <row r="32" spans="1:14">
      <c r="A32" s="116"/>
      <c r="B32" s="117">
        <v>3</v>
      </c>
      <c r="C32" s="118" t="s">
        <v>68</v>
      </c>
      <c r="D32" s="119"/>
      <c r="E32" s="170"/>
      <c r="F32" s="171"/>
      <c r="G32" s="172"/>
      <c r="H32" s="173"/>
      <c r="I32" s="172"/>
      <c r="J32" s="172"/>
      <c r="K32" s="122"/>
      <c r="L32" s="124"/>
      <c r="M32" s="175"/>
      <c r="N32" s="126">
        <f t="shared" si="0"/>
        <v>0</v>
      </c>
    </row>
    <row r="33" spans="1:14">
      <c r="A33" s="116"/>
      <c r="B33" s="117">
        <v>4</v>
      </c>
      <c r="C33" s="118" t="s">
        <v>69</v>
      </c>
      <c r="D33" s="119"/>
      <c r="E33" s="170"/>
      <c r="F33" s="121"/>
      <c r="G33" s="122"/>
      <c r="H33" s="123"/>
      <c r="I33" s="122"/>
      <c r="J33" s="122"/>
      <c r="K33" s="122"/>
      <c r="L33" s="124"/>
      <c r="M33" s="125"/>
      <c r="N33" s="126">
        <f t="shared" si="0"/>
        <v>0</v>
      </c>
    </row>
    <row r="34" spans="1:14">
      <c r="A34" s="116"/>
      <c r="B34" s="117">
        <v>5</v>
      </c>
      <c r="C34" s="118" t="s">
        <v>70</v>
      </c>
      <c r="D34" s="119"/>
      <c r="E34" s="170"/>
      <c r="F34" s="121"/>
      <c r="G34" s="122"/>
      <c r="H34" s="123"/>
      <c r="I34" s="122"/>
      <c r="J34" s="122"/>
      <c r="K34" s="122"/>
      <c r="L34" s="124"/>
      <c r="M34" s="125"/>
      <c r="N34" s="126">
        <f t="shared" si="0"/>
        <v>0</v>
      </c>
    </row>
    <row r="35" spans="1:14">
      <c r="A35" s="116"/>
      <c r="B35" s="117">
        <v>6</v>
      </c>
      <c r="C35" s="118" t="s">
        <v>71</v>
      </c>
      <c r="D35" s="119"/>
      <c r="E35" s="170"/>
      <c r="F35" s="121"/>
      <c r="G35" s="122"/>
      <c r="H35" s="123"/>
      <c r="I35" s="122"/>
      <c r="J35" s="122"/>
      <c r="K35" s="122"/>
      <c r="L35" s="124"/>
      <c r="M35" s="125"/>
      <c r="N35" s="126">
        <f t="shared" si="0"/>
        <v>0</v>
      </c>
    </row>
    <row r="36" spans="1:14">
      <c r="A36" s="116"/>
      <c r="B36" s="117">
        <v>7</v>
      </c>
      <c r="C36" s="118" t="s">
        <v>72</v>
      </c>
      <c r="D36" s="119"/>
      <c r="E36" s="170"/>
      <c r="F36" s="121"/>
      <c r="G36" s="122"/>
      <c r="H36" s="123"/>
      <c r="I36" s="122"/>
      <c r="J36" s="122"/>
      <c r="K36" s="122"/>
      <c r="L36" s="124"/>
      <c r="M36" s="125"/>
      <c r="N36" s="126">
        <f t="shared" si="0"/>
        <v>0</v>
      </c>
    </row>
    <row r="37" spans="1:14">
      <c r="A37" s="116"/>
      <c r="B37" s="117">
        <v>8</v>
      </c>
      <c r="C37" s="174" t="s">
        <v>73</v>
      </c>
      <c r="D37" s="119"/>
      <c r="E37" s="176"/>
      <c r="F37" s="155"/>
      <c r="G37" s="156"/>
      <c r="H37" s="157"/>
      <c r="I37" s="156"/>
      <c r="J37" s="156"/>
      <c r="K37" s="156"/>
      <c r="L37" s="124"/>
      <c r="M37" s="146"/>
      <c r="N37" s="126">
        <f t="shared" si="0"/>
        <v>0</v>
      </c>
    </row>
    <row r="38" spans="1:14">
      <c r="A38" s="116"/>
      <c r="B38" s="117">
        <v>9</v>
      </c>
      <c r="C38" s="161" t="s">
        <v>74</v>
      </c>
      <c r="D38" s="162"/>
      <c r="E38" s="177"/>
      <c r="F38" s="178"/>
      <c r="G38" s="179"/>
      <c r="H38" s="180"/>
      <c r="I38" s="179"/>
      <c r="J38" s="179"/>
      <c r="K38" s="179"/>
      <c r="L38" s="163"/>
      <c r="M38" s="181"/>
      <c r="N38" s="168">
        <f>SUM($E$38:$M$38)-$H$38</f>
        <v>0</v>
      </c>
    </row>
    <row r="39" spans="1:14" ht="15.75" thickBot="1">
      <c r="A39" s="129">
        <v>8128</v>
      </c>
      <c r="B39" s="130" t="s">
        <v>51</v>
      </c>
      <c r="C39" s="131" t="s">
        <v>75</v>
      </c>
      <c r="D39" s="132"/>
      <c r="E39" s="133">
        <f t="shared" ref="E39:M39" si="5">SUM(E30:E38)</f>
        <v>0</v>
      </c>
      <c r="F39" s="182">
        <f t="shared" si="5"/>
        <v>0</v>
      </c>
      <c r="G39" s="183">
        <f t="shared" si="5"/>
        <v>0</v>
      </c>
      <c r="H39" s="184">
        <f t="shared" si="5"/>
        <v>0</v>
      </c>
      <c r="I39" s="183">
        <f t="shared" si="5"/>
        <v>0</v>
      </c>
      <c r="J39" s="183">
        <f t="shared" si="5"/>
        <v>0</v>
      </c>
      <c r="K39" s="183">
        <f t="shared" si="5"/>
        <v>0</v>
      </c>
      <c r="L39" s="185">
        <f t="shared" si="5"/>
        <v>0</v>
      </c>
      <c r="M39" s="186">
        <f t="shared" si="5"/>
        <v>0</v>
      </c>
      <c r="N39" s="138">
        <f t="shared" si="0"/>
        <v>0</v>
      </c>
    </row>
    <row r="40" spans="1:14" ht="16.5" thickTop="1" thickBot="1">
      <c r="A40" s="187">
        <v>8129</v>
      </c>
      <c r="B40" s="188"/>
      <c r="C40" s="189" t="s">
        <v>76</v>
      </c>
      <c r="D40" s="190"/>
      <c r="E40" s="191"/>
      <c r="F40" s="148"/>
      <c r="G40" s="149"/>
      <c r="H40" s="150"/>
      <c r="I40" s="149"/>
      <c r="J40" s="149"/>
      <c r="K40" s="149"/>
      <c r="L40" s="192"/>
      <c r="M40" s="380">
        <v>2059.0172849999999</v>
      </c>
      <c r="N40" s="376">
        <f t="shared" si="0"/>
        <v>2059.0172849999999</v>
      </c>
    </row>
    <row r="41" spans="1:14" ht="16.5" thickTop="1" thickBot="1">
      <c r="A41" s="193">
        <v>812</v>
      </c>
      <c r="B41" s="194" t="s">
        <v>51</v>
      </c>
      <c r="C41" s="195" t="s">
        <v>77</v>
      </c>
      <c r="D41" s="196"/>
      <c r="E41" s="197">
        <f>(E40+E39+E29+E24+E18+E17+E16)</f>
        <v>14.053128740000002</v>
      </c>
      <c r="F41" s="197">
        <f t="shared" ref="F41:M41" si="6">(F40+F39+F29+F24+F18+F17+F16)</f>
        <v>28.390330279999997</v>
      </c>
      <c r="G41" s="197">
        <f t="shared" si="6"/>
        <v>1.1547919800000002</v>
      </c>
      <c r="H41" s="197">
        <f t="shared" si="6"/>
        <v>0</v>
      </c>
      <c r="I41" s="197">
        <f t="shared" si="6"/>
        <v>464.84500000000003</v>
      </c>
      <c r="J41" s="197">
        <f t="shared" si="6"/>
        <v>439</v>
      </c>
      <c r="K41" s="197">
        <f t="shared" si="6"/>
        <v>439</v>
      </c>
      <c r="L41" s="197">
        <f t="shared" si="6"/>
        <v>552.79349999999999</v>
      </c>
      <c r="M41" s="197">
        <f t="shared" si="6"/>
        <v>23421.958436999998</v>
      </c>
      <c r="N41" s="377">
        <f t="shared" si="0"/>
        <v>25361.195187999998</v>
      </c>
    </row>
    <row r="42" spans="1:14" ht="15.75" thickBot="1">
      <c r="A42" s="129">
        <v>8130</v>
      </c>
      <c r="B42" s="130"/>
      <c r="C42" s="131" t="s">
        <v>78</v>
      </c>
      <c r="D42" s="132"/>
      <c r="E42" s="133"/>
      <c r="F42" s="134"/>
      <c r="G42" s="158"/>
      <c r="H42" s="159"/>
      <c r="I42" s="158"/>
      <c r="J42" s="158"/>
      <c r="K42" s="158"/>
      <c r="L42" s="133"/>
      <c r="M42" s="160"/>
      <c r="N42" s="138">
        <f t="shared" si="0"/>
        <v>0</v>
      </c>
    </row>
    <row r="43" spans="1:14" ht="15.75" thickBot="1">
      <c r="A43" s="129">
        <v>8131</v>
      </c>
      <c r="B43" s="130"/>
      <c r="C43" s="131" t="s">
        <v>79</v>
      </c>
      <c r="D43" s="132"/>
      <c r="E43" s="133"/>
      <c r="F43" s="134"/>
      <c r="G43" s="158"/>
      <c r="H43" s="159"/>
      <c r="I43" s="158"/>
      <c r="J43" s="158"/>
      <c r="K43" s="158"/>
      <c r="L43" s="133"/>
      <c r="M43" s="160"/>
      <c r="N43" s="138">
        <f t="shared" si="0"/>
        <v>0</v>
      </c>
    </row>
    <row r="44" spans="1:14" ht="15.75" thickBot="1">
      <c r="A44" s="129">
        <v>8132</v>
      </c>
      <c r="B44" s="130"/>
      <c r="C44" s="131" t="s">
        <v>80</v>
      </c>
      <c r="D44" s="132"/>
      <c r="E44" s="133"/>
      <c r="F44" s="134"/>
      <c r="G44" s="158"/>
      <c r="H44" s="159"/>
      <c r="I44" s="158"/>
      <c r="J44" s="158"/>
      <c r="K44" s="158"/>
      <c r="L44" s="133"/>
      <c r="M44" s="160"/>
      <c r="N44" s="138">
        <f t="shared" si="0"/>
        <v>0</v>
      </c>
    </row>
    <row r="45" spans="1:14">
      <c r="A45" s="204">
        <v>8133</v>
      </c>
      <c r="B45" s="205">
        <v>1</v>
      </c>
      <c r="C45" s="169" t="s">
        <v>81</v>
      </c>
      <c r="D45" s="206"/>
      <c r="E45" s="207"/>
      <c r="F45" s="121"/>
      <c r="G45" s="122"/>
      <c r="H45" s="123"/>
      <c r="I45" s="122"/>
      <c r="J45" s="122"/>
      <c r="K45" s="122"/>
      <c r="L45" s="124"/>
      <c r="M45" s="125"/>
      <c r="N45" s="208">
        <f t="shared" si="0"/>
        <v>0</v>
      </c>
    </row>
    <row r="46" spans="1:14">
      <c r="A46" s="209"/>
      <c r="B46" s="210">
        <v>2</v>
      </c>
      <c r="C46" s="118" t="s">
        <v>82</v>
      </c>
      <c r="D46" s="211"/>
      <c r="E46" s="124"/>
      <c r="F46" s="121"/>
      <c r="G46" s="122"/>
      <c r="H46" s="123"/>
      <c r="I46" s="122"/>
      <c r="J46" s="122"/>
      <c r="K46" s="122"/>
      <c r="L46" s="124"/>
      <c r="M46" s="125"/>
      <c r="N46" s="126">
        <f t="shared" si="0"/>
        <v>0</v>
      </c>
    </row>
    <row r="47" spans="1:14">
      <c r="A47" s="209"/>
      <c r="B47" s="210">
        <v>9</v>
      </c>
      <c r="C47" s="161" t="s">
        <v>83</v>
      </c>
      <c r="D47" s="212"/>
      <c r="E47" s="163"/>
      <c r="F47" s="178"/>
      <c r="G47" s="179"/>
      <c r="H47" s="180"/>
      <c r="I47" s="179"/>
      <c r="J47" s="179"/>
      <c r="K47" s="179"/>
      <c r="L47" s="213"/>
      <c r="M47" s="181"/>
      <c r="N47" s="168">
        <f t="shared" si="0"/>
        <v>0</v>
      </c>
    </row>
    <row r="48" spans="1:14" ht="15.75" thickBot="1">
      <c r="A48" s="129">
        <v>8133</v>
      </c>
      <c r="B48" s="130" t="s">
        <v>51</v>
      </c>
      <c r="C48" s="131" t="s">
        <v>84</v>
      </c>
      <c r="D48" s="132"/>
      <c r="E48" s="133">
        <f t="shared" ref="E48:M48" si="7">SUM(E45:E47)</f>
        <v>0</v>
      </c>
      <c r="F48" s="134">
        <f t="shared" si="7"/>
        <v>0</v>
      </c>
      <c r="G48" s="158">
        <f t="shared" si="7"/>
        <v>0</v>
      </c>
      <c r="H48" s="159">
        <f t="shared" si="7"/>
        <v>0</v>
      </c>
      <c r="I48" s="158">
        <f t="shared" si="7"/>
        <v>0</v>
      </c>
      <c r="J48" s="158">
        <f t="shared" si="7"/>
        <v>0</v>
      </c>
      <c r="K48" s="158">
        <f t="shared" si="7"/>
        <v>0</v>
      </c>
      <c r="L48" s="133">
        <f t="shared" si="7"/>
        <v>0</v>
      </c>
      <c r="M48" s="160">
        <f t="shared" si="7"/>
        <v>0</v>
      </c>
      <c r="N48" s="138">
        <f t="shared" si="0"/>
        <v>0</v>
      </c>
    </row>
    <row r="49" spans="1:15" ht="15.75" thickBot="1">
      <c r="A49" s="214">
        <v>813</v>
      </c>
      <c r="B49" s="215" t="s">
        <v>51</v>
      </c>
      <c r="C49" s="216" t="s">
        <v>85</v>
      </c>
      <c r="D49" s="217"/>
      <c r="E49" s="218">
        <f t="shared" ref="E49:M49" si="8">E41+E42+E43+E44+E48</f>
        <v>14.053128740000002</v>
      </c>
      <c r="F49" s="219">
        <f t="shared" si="8"/>
        <v>28.390330279999997</v>
      </c>
      <c r="G49" s="219">
        <f t="shared" si="8"/>
        <v>1.1547919800000002</v>
      </c>
      <c r="H49" s="220">
        <f t="shared" si="8"/>
        <v>0</v>
      </c>
      <c r="I49" s="221">
        <f t="shared" si="8"/>
        <v>464.84500000000003</v>
      </c>
      <c r="J49" s="219">
        <f t="shared" si="8"/>
        <v>439</v>
      </c>
      <c r="K49" s="219">
        <f>K41+K42+K43+K44+K48</f>
        <v>439</v>
      </c>
      <c r="L49" s="222">
        <f t="shared" si="8"/>
        <v>552.79349999999999</v>
      </c>
      <c r="M49" s="223">
        <f t="shared" si="8"/>
        <v>23421.958436999998</v>
      </c>
      <c r="N49" s="224">
        <f>SUM(E49:M49)</f>
        <v>25361.195187999998</v>
      </c>
      <c r="O49" s="405">
        <v>25361.194536999996</v>
      </c>
    </row>
    <row r="50" spans="1:15" ht="16.5" thickBot="1">
      <c r="A50" s="225"/>
      <c r="B50" s="226"/>
      <c r="C50" s="227"/>
      <c r="D50" s="227"/>
      <c r="E50" s="228"/>
      <c r="F50" s="228"/>
      <c r="G50" s="228"/>
      <c r="H50" s="229"/>
      <c r="I50" s="228"/>
      <c r="J50" s="228"/>
      <c r="K50" s="228"/>
      <c r="L50" s="228"/>
      <c r="M50" s="228"/>
      <c r="N50" s="230"/>
    </row>
    <row r="51" spans="1:15">
      <c r="A51" s="231">
        <v>8141</v>
      </c>
      <c r="B51" s="232"/>
      <c r="C51" s="233" t="s">
        <v>86</v>
      </c>
      <c r="D51" s="234"/>
      <c r="E51" s="235"/>
      <c r="F51" s="236"/>
      <c r="G51" s="236"/>
      <c r="H51" s="237"/>
      <c r="I51" s="236"/>
      <c r="J51" s="236"/>
      <c r="K51" s="236"/>
      <c r="L51" s="238"/>
      <c r="M51" s="239"/>
      <c r="N51" s="240">
        <f t="shared" ref="N51:N94" si="9">SUM(E51:M51)-H51</f>
        <v>0</v>
      </c>
    </row>
    <row r="52" spans="1:15">
      <c r="A52" s="241">
        <v>8142</v>
      </c>
      <c r="B52" s="242"/>
      <c r="C52" s="243" t="s">
        <v>87</v>
      </c>
      <c r="D52" s="244"/>
      <c r="E52" s="245"/>
      <c r="F52" s="246"/>
      <c r="G52" s="246"/>
      <c r="H52" s="247"/>
      <c r="I52" s="246"/>
      <c r="J52" s="246"/>
      <c r="K52" s="246"/>
      <c r="L52" s="248"/>
      <c r="M52" s="249"/>
      <c r="N52" s="250">
        <f t="shared" si="9"/>
        <v>0</v>
      </c>
    </row>
    <row r="53" spans="1:15">
      <c r="A53" s="209">
        <v>8143</v>
      </c>
      <c r="B53" s="210">
        <v>1</v>
      </c>
      <c r="C53" s="251" t="s">
        <v>88</v>
      </c>
      <c r="D53" s="252"/>
      <c r="E53" s="253"/>
      <c r="F53" s="122"/>
      <c r="G53" s="122"/>
      <c r="H53" s="123"/>
      <c r="I53" s="122"/>
      <c r="J53" s="122"/>
      <c r="K53" s="122"/>
      <c r="L53" s="124"/>
      <c r="M53" s="249"/>
      <c r="N53" s="254">
        <f t="shared" si="9"/>
        <v>0</v>
      </c>
    </row>
    <row r="54" spans="1:15">
      <c r="A54" s="209"/>
      <c r="B54" s="210">
        <v>9</v>
      </c>
      <c r="C54" s="255" t="s">
        <v>89</v>
      </c>
      <c r="D54" s="256"/>
      <c r="E54" s="245"/>
      <c r="F54" s="165"/>
      <c r="G54" s="165"/>
      <c r="H54" s="166"/>
      <c r="I54" s="165"/>
      <c r="J54" s="165"/>
      <c r="K54" s="165"/>
      <c r="L54" s="163"/>
      <c r="M54" s="257"/>
      <c r="N54" s="250">
        <f t="shared" si="9"/>
        <v>0</v>
      </c>
    </row>
    <row r="55" spans="1:15">
      <c r="A55" s="258">
        <v>8143</v>
      </c>
      <c r="B55" s="259" t="s">
        <v>51</v>
      </c>
      <c r="C55" s="260" t="s">
        <v>90</v>
      </c>
      <c r="D55" s="261"/>
      <c r="E55" s="262">
        <f t="shared" ref="E55:M55" si="10">SUM(E53:E54)</f>
        <v>0</v>
      </c>
      <c r="F55" s="263">
        <f t="shared" si="10"/>
        <v>0</v>
      </c>
      <c r="G55" s="263">
        <f t="shared" si="10"/>
        <v>0</v>
      </c>
      <c r="H55" s="264">
        <f t="shared" si="10"/>
        <v>0</v>
      </c>
      <c r="I55" s="263">
        <f t="shared" si="10"/>
        <v>0</v>
      </c>
      <c r="J55" s="263">
        <f>SUM(J53:J54)</f>
        <v>0</v>
      </c>
      <c r="K55" s="263">
        <f t="shared" si="10"/>
        <v>0</v>
      </c>
      <c r="L55" s="262">
        <f t="shared" si="10"/>
        <v>0</v>
      </c>
      <c r="M55" s="265">
        <f t="shared" si="10"/>
        <v>0</v>
      </c>
      <c r="N55" s="250">
        <f t="shared" si="9"/>
        <v>0</v>
      </c>
    </row>
    <row r="56" spans="1:15">
      <c r="A56" s="209">
        <v>8144</v>
      </c>
      <c r="B56" s="210">
        <v>1</v>
      </c>
      <c r="C56" s="266" t="s">
        <v>91</v>
      </c>
      <c r="D56" s="267"/>
      <c r="E56" s="268"/>
      <c r="F56" s="269"/>
      <c r="G56" s="269"/>
      <c r="H56" s="270"/>
      <c r="I56" s="269"/>
      <c r="J56" s="269"/>
      <c r="K56" s="269"/>
      <c r="L56" s="271"/>
      <c r="M56" s="272"/>
      <c r="N56" s="254">
        <f t="shared" si="9"/>
        <v>0</v>
      </c>
    </row>
    <row r="57" spans="1:15">
      <c r="A57" s="209"/>
      <c r="B57" s="210">
        <v>2</v>
      </c>
      <c r="C57" s="266" t="s">
        <v>92</v>
      </c>
      <c r="D57" s="267"/>
      <c r="E57" s="268"/>
      <c r="F57" s="269"/>
      <c r="G57" s="269"/>
      <c r="H57" s="270"/>
      <c r="I57" s="269"/>
      <c r="J57" s="269"/>
      <c r="K57" s="269"/>
      <c r="L57" s="271"/>
      <c r="M57" s="272"/>
      <c r="N57" s="254">
        <f t="shared" si="9"/>
        <v>0</v>
      </c>
    </row>
    <row r="58" spans="1:15">
      <c r="A58" s="209"/>
      <c r="B58" s="210">
        <v>3</v>
      </c>
      <c r="C58" s="266" t="s">
        <v>93</v>
      </c>
      <c r="D58" s="267"/>
      <c r="E58" s="268"/>
      <c r="F58" s="269"/>
      <c r="G58" s="269"/>
      <c r="H58" s="270"/>
      <c r="I58" s="269"/>
      <c r="J58" s="269"/>
      <c r="K58" s="269"/>
      <c r="L58" s="271"/>
      <c r="M58" s="272"/>
      <c r="N58" s="254">
        <f t="shared" si="9"/>
        <v>0</v>
      </c>
    </row>
    <row r="59" spans="1:15">
      <c r="A59" s="273"/>
      <c r="B59" s="210">
        <v>4</v>
      </c>
      <c r="C59" s="266" t="s">
        <v>94</v>
      </c>
      <c r="D59" s="267"/>
      <c r="E59" s="268"/>
      <c r="F59" s="269"/>
      <c r="G59" s="269"/>
      <c r="H59" s="270"/>
      <c r="I59" s="269"/>
      <c r="J59" s="269"/>
      <c r="K59" s="269"/>
      <c r="L59" s="271"/>
      <c r="M59" s="272"/>
      <c r="N59" s="254">
        <f t="shared" si="9"/>
        <v>0</v>
      </c>
    </row>
    <row r="60" spans="1:15">
      <c r="A60" s="258">
        <v>8144</v>
      </c>
      <c r="B60" s="259" t="s">
        <v>51</v>
      </c>
      <c r="C60" s="260" t="s">
        <v>95</v>
      </c>
      <c r="D60" s="261"/>
      <c r="E60" s="274">
        <f t="shared" ref="E60:M60" si="11">SUM(E56:E59)</f>
        <v>0</v>
      </c>
      <c r="F60" s="275">
        <f t="shared" si="11"/>
        <v>0</v>
      </c>
      <c r="G60" s="275">
        <f t="shared" si="11"/>
        <v>0</v>
      </c>
      <c r="H60" s="264">
        <f t="shared" si="11"/>
        <v>0</v>
      </c>
      <c r="I60" s="275">
        <f t="shared" si="11"/>
        <v>0</v>
      </c>
      <c r="J60" s="275">
        <f t="shared" si="11"/>
        <v>0</v>
      </c>
      <c r="K60" s="275">
        <f t="shared" si="11"/>
        <v>0</v>
      </c>
      <c r="L60" s="276">
        <f t="shared" si="11"/>
        <v>0</v>
      </c>
      <c r="M60" s="277">
        <f t="shared" si="11"/>
        <v>0</v>
      </c>
      <c r="N60" s="278">
        <f t="shared" si="9"/>
        <v>0</v>
      </c>
    </row>
    <row r="61" spans="1:15">
      <c r="A61" s="209">
        <v>8145</v>
      </c>
      <c r="B61" s="210">
        <v>1</v>
      </c>
      <c r="C61" s="169" t="s">
        <v>96</v>
      </c>
      <c r="D61" s="267"/>
      <c r="E61" s="268"/>
      <c r="F61" s="269"/>
      <c r="G61" s="269"/>
      <c r="H61" s="270"/>
      <c r="I61" s="269"/>
      <c r="J61" s="269"/>
      <c r="K61" s="269"/>
      <c r="L61" s="271"/>
      <c r="M61" s="272"/>
      <c r="N61" s="254">
        <f t="shared" si="9"/>
        <v>0</v>
      </c>
    </row>
    <row r="62" spans="1:15">
      <c r="A62" s="209"/>
      <c r="B62" s="210">
        <v>2</v>
      </c>
      <c r="C62" s="266" t="s">
        <v>97</v>
      </c>
      <c r="D62" s="267"/>
      <c r="E62" s="268"/>
      <c r="F62" s="269"/>
      <c r="G62" s="269"/>
      <c r="H62" s="270"/>
      <c r="I62" s="269"/>
      <c r="J62" s="269"/>
      <c r="K62" s="269"/>
      <c r="L62" s="271"/>
      <c r="M62" s="272"/>
      <c r="N62" s="254">
        <f t="shared" si="9"/>
        <v>0</v>
      </c>
    </row>
    <row r="63" spans="1:15">
      <c r="A63" s="209"/>
      <c r="B63" s="210">
        <v>3</v>
      </c>
      <c r="C63" s="266" t="s">
        <v>98</v>
      </c>
      <c r="D63" s="267"/>
      <c r="E63" s="268"/>
      <c r="F63" s="269"/>
      <c r="G63" s="269"/>
      <c r="H63" s="270"/>
      <c r="I63" s="269"/>
      <c r="J63" s="269"/>
      <c r="K63" s="269"/>
      <c r="L63" s="271"/>
      <c r="M63" s="272"/>
      <c r="N63" s="254">
        <f t="shared" si="9"/>
        <v>0</v>
      </c>
    </row>
    <row r="64" spans="1:15">
      <c r="A64" s="273"/>
      <c r="B64" s="210">
        <v>4</v>
      </c>
      <c r="C64" s="266" t="s">
        <v>99</v>
      </c>
      <c r="D64" s="267"/>
      <c r="E64" s="268"/>
      <c r="F64" s="269"/>
      <c r="G64" s="269"/>
      <c r="H64" s="270"/>
      <c r="I64" s="269"/>
      <c r="J64" s="269"/>
      <c r="K64" s="269"/>
      <c r="L64" s="271"/>
      <c r="M64" s="272"/>
      <c r="N64" s="254">
        <f t="shared" si="9"/>
        <v>0</v>
      </c>
    </row>
    <row r="65" spans="1:14">
      <c r="A65" s="258">
        <v>8145</v>
      </c>
      <c r="B65" s="259" t="s">
        <v>51</v>
      </c>
      <c r="C65" s="260" t="s">
        <v>100</v>
      </c>
      <c r="D65" s="261"/>
      <c r="E65" s="274">
        <f t="shared" ref="E65:M65" si="12">SUM(E61:E64)</f>
        <v>0</v>
      </c>
      <c r="F65" s="275">
        <f t="shared" si="12"/>
        <v>0</v>
      </c>
      <c r="G65" s="275">
        <f t="shared" si="12"/>
        <v>0</v>
      </c>
      <c r="H65" s="264">
        <f t="shared" si="12"/>
        <v>0</v>
      </c>
      <c r="I65" s="275">
        <f t="shared" si="12"/>
        <v>0</v>
      </c>
      <c r="J65" s="275">
        <f t="shared" si="12"/>
        <v>0</v>
      </c>
      <c r="K65" s="275">
        <f t="shared" si="12"/>
        <v>0</v>
      </c>
      <c r="L65" s="276">
        <f t="shared" si="12"/>
        <v>0</v>
      </c>
      <c r="M65" s="277">
        <f t="shared" si="12"/>
        <v>0</v>
      </c>
      <c r="N65" s="278">
        <f t="shared" si="9"/>
        <v>0</v>
      </c>
    </row>
    <row r="66" spans="1:14">
      <c r="A66" s="209">
        <v>8146</v>
      </c>
      <c r="B66" s="210">
        <v>1</v>
      </c>
      <c r="C66" s="169" t="s">
        <v>101</v>
      </c>
      <c r="D66" s="267"/>
      <c r="E66" s="268"/>
      <c r="F66" s="269"/>
      <c r="G66" s="269"/>
      <c r="H66" s="270"/>
      <c r="I66" s="269"/>
      <c r="J66" s="269"/>
      <c r="K66" s="269"/>
      <c r="L66" s="271"/>
      <c r="M66" s="272"/>
      <c r="N66" s="254">
        <f t="shared" si="9"/>
        <v>0</v>
      </c>
    </row>
    <row r="67" spans="1:14">
      <c r="A67" s="209"/>
      <c r="B67" s="210">
        <v>2</v>
      </c>
      <c r="C67" s="266" t="s">
        <v>102</v>
      </c>
      <c r="D67" s="267"/>
      <c r="E67" s="268"/>
      <c r="F67" s="269"/>
      <c r="G67" s="269"/>
      <c r="H67" s="270"/>
      <c r="I67" s="269"/>
      <c r="J67" s="269"/>
      <c r="K67" s="269"/>
      <c r="L67" s="271"/>
      <c r="M67" s="272"/>
      <c r="N67" s="254">
        <f t="shared" si="9"/>
        <v>0</v>
      </c>
    </row>
    <row r="68" spans="1:14">
      <c r="A68" s="209"/>
      <c r="B68" s="210">
        <v>3</v>
      </c>
      <c r="C68" s="266" t="s">
        <v>103</v>
      </c>
      <c r="D68" s="267"/>
      <c r="E68" s="268"/>
      <c r="F68" s="269"/>
      <c r="G68" s="269"/>
      <c r="H68" s="270"/>
      <c r="I68" s="269"/>
      <c r="J68" s="269"/>
      <c r="K68" s="269"/>
      <c r="L68" s="271"/>
      <c r="M68" s="272"/>
      <c r="N68" s="254">
        <f t="shared" si="9"/>
        <v>0</v>
      </c>
    </row>
    <row r="69" spans="1:14">
      <c r="A69" s="273"/>
      <c r="B69" s="210">
        <v>4</v>
      </c>
      <c r="C69" s="266" t="s">
        <v>104</v>
      </c>
      <c r="D69" s="267"/>
      <c r="E69" s="268"/>
      <c r="F69" s="269"/>
      <c r="G69" s="269"/>
      <c r="H69" s="270"/>
      <c r="I69" s="269"/>
      <c r="J69" s="269"/>
      <c r="K69" s="269"/>
      <c r="L69" s="271"/>
      <c r="M69" s="272"/>
      <c r="N69" s="254">
        <f t="shared" si="9"/>
        <v>0</v>
      </c>
    </row>
    <row r="70" spans="1:14">
      <c r="A70" s="258">
        <v>8146</v>
      </c>
      <c r="B70" s="259" t="s">
        <v>51</v>
      </c>
      <c r="C70" s="279" t="s">
        <v>105</v>
      </c>
      <c r="D70" s="280"/>
      <c r="E70" s="274">
        <f t="shared" ref="E70:M70" si="13">SUM(E66:E69)</f>
        <v>0</v>
      </c>
      <c r="F70" s="275">
        <f t="shared" si="13"/>
        <v>0</v>
      </c>
      <c r="G70" s="275">
        <f t="shared" si="13"/>
        <v>0</v>
      </c>
      <c r="H70" s="264">
        <f t="shared" si="13"/>
        <v>0</v>
      </c>
      <c r="I70" s="275">
        <f t="shared" si="13"/>
        <v>0</v>
      </c>
      <c r="J70" s="275">
        <f t="shared" si="13"/>
        <v>0</v>
      </c>
      <c r="K70" s="275">
        <f t="shared" si="13"/>
        <v>0</v>
      </c>
      <c r="L70" s="276">
        <f t="shared" si="13"/>
        <v>0</v>
      </c>
      <c r="M70" s="281">
        <f t="shared" si="13"/>
        <v>0</v>
      </c>
      <c r="N70" s="278">
        <f t="shared" si="9"/>
        <v>0</v>
      </c>
    </row>
    <row r="71" spans="1:14">
      <c r="A71" s="209">
        <v>8147</v>
      </c>
      <c r="B71" s="210">
        <v>1</v>
      </c>
      <c r="C71" s="169" t="s">
        <v>106</v>
      </c>
      <c r="D71" s="282"/>
      <c r="E71" s="268"/>
      <c r="F71" s="269"/>
      <c r="G71" s="269"/>
      <c r="H71" s="270"/>
      <c r="I71" s="269"/>
      <c r="J71" s="269"/>
      <c r="K71" s="269"/>
      <c r="L71" s="271"/>
      <c r="M71" s="281"/>
      <c r="N71" s="254">
        <f t="shared" si="9"/>
        <v>0</v>
      </c>
    </row>
    <row r="72" spans="1:14">
      <c r="A72" s="273"/>
      <c r="B72" s="210">
        <v>2</v>
      </c>
      <c r="C72" s="118" t="s">
        <v>107</v>
      </c>
      <c r="D72" s="267"/>
      <c r="E72" s="268">
        <f>+E49</f>
        <v>14.053128740000002</v>
      </c>
      <c r="F72" s="269">
        <f t="shared" ref="F72:M72" si="14">+F49-F90</f>
        <v>28.390330279999997</v>
      </c>
      <c r="G72" s="269">
        <f t="shared" si="14"/>
        <v>1.1547919800000002</v>
      </c>
      <c r="H72" s="270">
        <f t="shared" si="14"/>
        <v>0</v>
      </c>
      <c r="I72" s="269">
        <f t="shared" si="14"/>
        <v>464.84500000000003</v>
      </c>
      <c r="J72" s="269">
        <f t="shared" si="14"/>
        <v>439</v>
      </c>
      <c r="K72" s="269">
        <f>+K49-K90</f>
        <v>439</v>
      </c>
      <c r="L72" s="271">
        <f t="shared" si="14"/>
        <v>552.79349999999999</v>
      </c>
      <c r="M72" s="283">
        <f t="shared" si="14"/>
        <v>23421.958436999998</v>
      </c>
      <c r="N72" s="284">
        <f t="shared" si="9"/>
        <v>25361.195187999998</v>
      </c>
    </row>
    <row r="73" spans="1:14">
      <c r="A73" s="273"/>
      <c r="B73" s="210">
        <v>3</v>
      </c>
      <c r="C73" s="118" t="s">
        <v>108</v>
      </c>
      <c r="D73" s="267"/>
      <c r="E73" s="268"/>
      <c r="F73" s="269"/>
      <c r="G73" s="269"/>
      <c r="H73" s="270"/>
      <c r="I73" s="269"/>
      <c r="J73" s="269"/>
      <c r="K73" s="269"/>
      <c r="L73" s="271"/>
      <c r="M73" s="272"/>
      <c r="N73" s="254">
        <f t="shared" si="9"/>
        <v>0</v>
      </c>
    </row>
    <row r="74" spans="1:14">
      <c r="A74" s="273"/>
      <c r="B74" s="210">
        <v>9</v>
      </c>
      <c r="C74" s="161" t="s">
        <v>109</v>
      </c>
      <c r="D74" s="285"/>
      <c r="E74" s="262"/>
      <c r="F74" s="286"/>
      <c r="G74" s="286"/>
      <c r="H74" s="287"/>
      <c r="I74" s="286"/>
      <c r="J74" s="286"/>
      <c r="K74" s="286"/>
      <c r="L74" s="288"/>
      <c r="M74" s="265"/>
      <c r="N74" s="250">
        <f t="shared" si="9"/>
        <v>0</v>
      </c>
    </row>
    <row r="75" spans="1:14">
      <c r="A75" s="258">
        <v>8147</v>
      </c>
      <c r="B75" s="259" t="s">
        <v>51</v>
      </c>
      <c r="C75" s="279" t="s">
        <v>110</v>
      </c>
      <c r="D75" s="280"/>
      <c r="E75" s="274">
        <f t="shared" ref="E75:M75" si="15">SUM(E71:E74)</f>
        <v>14.053128740000002</v>
      </c>
      <c r="F75" s="275">
        <f t="shared" si="15"/>
        <v>28.390330279999997</v>
      </c>
      <c r="G75" s="275">
        <f t="shared" si="15"/>
        <v>1.1547919800000002</v>
      </c>
      <c r="H75" s="264">
        <f t="shared" si="15"/>
        <v>0</v>
      </c>
      <c r="I75" s="275">
        <f t="shared" si="15"/>
        <v>464.84500000000003</v>
      </c>
      <c r="J75" s="275">
        <f t="shared" si="15"/>
        <v>439</v>
      </c>
      <c r="K75" s="275">
        <f t="shared" si="15"/>
        <v>439</v>
      </c>
      <c r="L75" s="276">
        <f t="shared" si="15"/>
        <v>552.79349999999999</v>
      </c>
      <c r="M75" s="281">
        <f t="shared" si="15"/>
        <v>23421.958436999998</v>
      </c>
      <c r="N75" s="278">
        <f t="shared" si="9"/>
        <v>25361.195187999998</v>
      </c>
    </row>
    <row r="76" spans="1:14">
      <c r="A76" s="209">
        <v>8148</v>
      </c>
      <c r="B76" s="210">
        <v>1</v>
      </c>
      <c r="C76" s="169" t="s">
        <v>111</v>
      </c>
      <c r="D76" s="282"/>
      <c r="E76" s="268"/>
      <c r="F76" s="269"/>
      <c r="G76" s="269"/>
      <c r="H76" s="270"/>
      <c r="I76" s="269"/>
      <c r="J76" s="269"/>
      <c r="K76" s="269"/>
      <c r="L76" s="271"/>
      <c r="M76" s="281"/>
      <c r="N76" s="254">
        <f t="shared" si="9"/>
        <v>0</v>
      </c>
    </row>
    <row r="77" spans="1:14">
      <c r="A77" s="209"/>
      <c r="B77" s="210">
        <v>2</v>
      </c>
      <c r="C77" s="118" t="s">
        <v>112</v>
      </c>
      <c r="D77" s="267"/>
      <c r="E77" s="268"/>
      <c r="F77" s="269"/>
      <c r="G77" s="269"/>
      <c r="H77" s="270"/>
      <c r="I77" s="269"/>
      <c r="J77" s="269"/>
      <c r="K77" s="269"/>
      <c r="L77" s="271"/>
      <c r="M77" s="272"/>
      <c r="N77" s="254">
        <f t="shared" si="9"/>
        <v>0</v>
      </c>
    </row>
    <row r="78" spans="1:14">
      <c r="A78" s="209"/>
      <c r="B78" s="210">
        <v>3</v>
      </c>
      <c r="C78" s="118" t="s">
        <v>113</v>
      </c>
      <c r="D78" s="267"/>
      <c r="E78" s="268"/>
      <c r="F78" s="269"/>
      <c r="G78" s="269"/>
      <c r="H78" s="270"/>
      <c r="I78" s="269"/>
      <c r="J78" s="269"/>
      <c r="K78" s="269"/>
      <c r="L78" s="271"/>
      <c r="M78" s="272"/>
      <c r="N78" s="254">
        <f t="shared" si="9"/>
        <v>0</v>
      </c>
    </row>
    <row r="79" spans="1:14">
      <c r="A79" s="258">
        <v>8148</v>
      </c>
      <c r="B79" s="259" t="s">
        <v>51</v>
      </c>
      <c r="C79" s="279" t="s">
        <v>116</v>
      </c>
      <c r="D79" s="280"/>
      <c r="E79" s="274">
        <f t="shared" ref="E79:M79" si="16">SUM(E76:E78)</f>
        <v>0</v>
      </c>
      <c r="F79" s="275">
        <f t="shared" si="16"/>
        <v>0</v>
      </c>
      <c r="G79" s="275">
        <f t="shared" si="16"/>
        <v>0</v>
      </c>
      <c r="H79" s="264">
        <f t="shared" si="16"/>
        <v>0</v>
      </c>
      <c r="I79" s="275">
        <f t="shared" si="16"/>
        <v>0</v>
      </c>
      <c r="J79" s="275">
        <f t="shared" si="16"/>
        <v>0</v>
      </c>
      <c r="K79" s="275">
        <f t="shared" si="16"/>
        <v>0</v>
      </c>
      <c r="L79" s="276">
        <f t="shared" si="16"/>
        <v>0</v>
      </c>
      <c r="M79" s="281">
        <f t="shared" si="16"/>
        <v>0</v>
      </c>
      <c r="N79" s="278">
        <f t="shared" si="9"/>
        <v>0</v>
      </c>
    </row>
    <row r="80" spans="1:14">
      <c r="A80" s="204">
        <v>8149</v>
      </c>
      <c r="B80" s="205">
        <v>1</v>
      </c>
      <c r="C80" s="169" t="s">
        <v>117</v>
      </c>
      <c r="D80" s="206"/>
      <c r="E80" s="253"/>
      <c r="F80" s="122"/>
      <c r="G80" s="122"/>
      <c r="H80" s="123"/>
      <c r="I80" s="122"/>
      <c r="J80" s="122"/>
      <c r="K80" s="122"/>
      <c r="L80" s="124"/>
      <c r="M80" s="249"/>
      <c r="N80" s="254">
        <f t="shared" si="9"/>
        <v>0</v>
      </c>
    </row>
    <row r="81" spans="1:14">
      <c r="A81" s="209"/>
      <c r="B81" s="210">
        <v>2</v>
      </c>
      <c r="C81" s="118" t="s">
        <v>118</v>
      </c>
      <c r="D81" s="211"/>
      <c r="E81" s="253"/>
      <c r="F81" s="122"/>
      <c r="G81" s="122"/>
      <c r="H81" s="123"/>
      <c r="I81" s="122"/>
      <c r="J81" s="122"/>
      <c r="K81" s="122"/>
      <c r="L81" s="124"/>
      <c r="M81" s="290"/>
      <c r="N81" s="254">
        <f t="shared" si="9"/>
        <v>0</v>
      </c>
    </row>
    <row r="82" spans="1:14">
      <c r="A82" s="209"/>
      <c r="B82" s="210">
        <v>9</v>
      </c>
      <c r="C82" s="161" t="s">
        <v>119</v>
      </c>
      <c r="D82" s="212"/>
      <c r="E82" s="245"/>
      <c r="F82" s="165"/>
      <c r="G82" s="165"/>
      <c r="H82" s="166"/>
      <c r="I82" s="165"/>
      <c r="J82" s="165"/>
      <c r="K82" s="165"/>
      <c r="L82" s="163"/>
      <c r="M82" s="257"/>
      <c r="N82" s="250">
        <f t="shared" si="9"/>
        <v>0</v>
      </c>
    </row>
    <row r="83" spans="1:14">
      <c r="A83" s="258">
        <v>8149</v>
      </c>
      <c r="B83" s="259" t="s">
        <v>51</v>
      </c>
      <c r="C83" s="279" t="s">
        <v>122</v>
      </c>
      <c r="D83" s="280"/>
      <c r="E83" s="274">
        <f t="shared" ref="E83:M83" si="17">SUM(E80:E82)</f>
        <v>0</v>
      </c>
      <c r="F83" s="275">
        <f t="shared" si="17"/>
        <v>0</v>
      </c>
      <c r="G83" s="275">
        <f t="shared" si="17"/>
        <v>0</v>
      </c>
      <c r="H83" s="264">
        <f t="shared" si="17"/>
        <v>0</v>
      </c>
      <c r="I83" s="275">
        <f t="shared" si="17"/>
        <v>0</v>
      </c>
      <c r="J83" s="275">
        <f t="shared" si="17"/>
        <v>0</v>
      </c>
      <c r="K83" s="275">
        <f t="shared" si="17"/>
        <v>0</v>
      </c>
      <c r="L83" s="276">
        <f t="shared" si="17"/>
        <v>0</v>
      </c>
      <c r="M83" s="291">
        <f t="shared" si="17"/>
        <v>0</v>
      </c>
      <c r="N83" s="278">
        <f t="shared" si="9"/>
        <v>0</v>
      </c>
    </row>
    <row r="84" spans="1:14">
      <c r="A84" s="209">
        <v>8151</v>
      </c>
      <c r="B84" s="210">
        <v>1</v>
      </c>
      <c r="C84" s="169" t="s">
        <v>123</v>
      </c>
      <c r="D84" s="282"/>
      <c r="E84" s="292"/>
      <c r="F84" s="293"/>
      <c r="G84" s="294" t="str">
        <f>IF(O4="NE",(IF($P$84=1,('[2]Komentář FR'!$M$88/1000000)*0.85-'[2]VZOR 81'!$F84,"0"))*$O$86,"")</f>
        <v/>
      </c>
      <c r="H84" s="294"/>
      <c r="I84" s="294" t="str">
        <f>IF(O4="NE",(IF($P$84=1,'[2]Komentář FR'!$O$88/1000000,"0"))*$O$86*0.85,"")</f>
        <v/>
      </c>
      <c r="J84" s="294" t="str">
        <f>IF(O4="NE",(IF($P$84=1,'[2]Komentář FR'!$Q$88/1000000,"0"))*$O$86*0.85,"")</f>
        <v/>
      </c>
      <c r="K84" s="294" t="str">
        <f>IF(O4="NE",(IF($P$84=1,'[2]Komentář FR'!$S$88/1000000,"0"))*$O$86*0.85,"")</f>
        <v/>
      </c>
      <c r="L84" s="295" t="str">
        <f>IF(O4="NE",(IF($P$84=1,'[2]Komentář FR'!$U$88/1000000,"0"))*$O$86*0.85,"")</f>
        <v/>
      </c>
      <c r="M84" s="296" t="str">
        <f>IF(O4="NE",(IF(P84=1,('[2]Komentář FR'!$W$88+'[2]Komentář FR'!$Y$88+'[2]Komentář FR'!$AA$88+'[2]Komentář FR'!$AC$88+'[2]Komentář FR'!$AE$88)/1000000,"0"))*$O$86*0.85,"")</f>
        <v/>
      </c>
      <c r="N84" s="254">
        <f t="shared" si="9"/>
        <v>0</v>
      </c>
    </row>
    <row r="85" spans="1:14">
      <c r="A85" s="273"/>
      <c r="B85" s="210">
        <v>2</v>
      </c>
      <c r="C85" s="118" t="s">
        <v>124</v>
      </c>
      <c r="D85" s="267"/>
      <c r="E85" s="292"/>
      <c r="F85" s="299"/>
      <c r="G85" s="269" t="str">
        <f>IF(O4="NE",(IF($P$84=2,('[2]Komentář FR'!$M$88/1000000)*0.85-'[2]VZOR 81'!$F85,"0"))*$O$86,"")</f>
        <v/>
      </c>
      <c r="H85" s="269"/>
      <c r="I85" s="269" t="str">
        <f>IF(O4="NE",(IF($P$84=2,'[2]Komentář FR'!$O$88/1000000,"0"))*$O$86*0.85,"")</f>
        <v/>
      </c>
      <c r="J85" s="269" t="str">
        <f>IF(O4="NE",(IF($P$84=2,'[2]Komentář FR'!$Q$88/1000000,"0"))*$O$86*0.85,"")</f>
        <v/>
      </c>
      <c r="K85" s="269" t="str">
        <f>IF(O4="NE",(IF($P$84=2,'[2]Komentář FR'!$S$88/1000000,"0"))*$O$86*0.85,"")</f>
        <v/>
      </c>
      <c r="L85" s="271" t="str">
        <f>IF(O4="NE",(IF($P$84=2,'[2]Komentář FR'!$U$88/1000000,"0"))*$O$86*0.85,"")</f>
        <v/>
      </c>
      <c r="M85" s="269" t="str">
        <f>IF(O4="NE",(IF($P$84=2,('[2]Komentář FR'!$W$88+'[2]Komentář FR'!$Y$88+'[2]Komentář FR'!$AA$88+'[2]Komentář FR'!$AC$88+'[2]Komentář FR'!$AE$88)/1000000,"0"))*$O$86*0.85,"")</f>
        <v/>
      </c>
      <c r="N85" s="254">
        <f t="shared" si="9"/>
        <v>0</v>
      </c>
    </row>
    <row r="86" spans="1:14">
      <c r="A86" s="273"/>
      <c r="B86" s="210">
        <v>3</v>
      </c>
      <c r="C86" s="118" t="s">
        <v>125</v>
      </c>
      <c r="D86" s="267"/>
      <c r="E86" s="292"/>
      <c r="F86" s="299"/>
      <c r="G86" s="269" t="str">
        <f>IF(O4="NE",(IF($P$84=3,('[2]Komentář FR'!$M$88/1000000)*0.85-'[2]VZOR 81'!$F86,"0"))*$O$86,"")</f>
        <v/>
      </c>
      <c r="H86" s="269"/>
      <c r="I86" s="269" t="str">
        <f>IF(O4="NE",(IF($P$84=3,'[2]Komentář FR'!$O$88/1000000,"0"))*$O$86*0.85,"")</f>
        <v/>
      </c>
      <c r="J86" s="269" t="str">
        <f>IF(O4="NE",(IF($P$84=3,'[2]Komentář FR'!$Q$88/1000000,"0"))*$O$86*0.85,"")</f>
        <v/>
      </c>
      <c r="K86" s="269" t="str">
        <f>IF(O4="NE",(IF($P$84=3,'[2]Komentář FR'!$S$88/1000000,"0"))*$O$86*0.85,"")</f>
        <v/>
      </c>
      <c r="L86" s="271" t="str">
        <f>IF(O4="NE",(IF($P$84=3,'[2]Komentář FR'!$U$88/1000000,"0"))*$O$86*0.85,"")</f>
        <v/>
      </c>
      <c r="M86" s="269" t="str">
        <f>IF(O4="NE",(IF($P$84=3,('[2]Komentář FR'!$W$88+'[2]Komentář FR'!$Y$88+'[2]Komentář FR'!$AA$88+'[2]Komentář FR'!$AC$88+'[2]Komentář FR'!$AE$88)/1000000,"0"))*$O$86*0.85,"")</f>
        <v/>
      </c>
      <c r="N86" s="254">
        <f t="shared" si="9"/>
        <v>0</v>
      </c>
    </row>
    <row r="87" spans="1:14">
      <c r="A87" s="273"/>
      <c r="B87" s="210">
        <v>4</v>
      </c>
      <c r="C87" s="118" t="s">
        <v>126</v>
      </c>
      <c r="D87" s="267"/>
      <c r="E87" s="292"/>
      <c r="F87" s="299"/>
      <c r="G87" s="269" t="str">
        <f>IF(O4="NE",(IF($P$84=4,('[2]Komentář FR'!$M$88/1000000)*0.85-'[2]VZOR 81'!$F87,"0"))*$O$86,"")</f>
        <v/>
      </c>
      <c r="H87" s="269"/>
      <c r="I87" s="269" t="str">
        <f>IF(O4="NE",(IF($P$84=4,'[2]Komentář FR'!$O$88/1000000,"0"))*$O$86*0.85,"")</f>
        <v/>
      </c>
      <c r="J87" s="269" t="str">
        <f>IF(O4="NE",(IF($P$84=4,'[2]Komentář FR'!$Q$88/1000000,"0"))*$O$86*0.85,"")</f>
        <v/>
      </c>
      <c r="K87" s="269" t="str">
        <f>IF(O4="NE",(IF($P$84=4,'[2]Komentář FR'!$S$88/1000000,"0"))*$O$86*0.85,"")</f>
        <v/>
      </c>
      <c r="L87" s="271" t="str">
        <f>IF(O4="NE",(IF($P$84=4,'[2]Komentář FR'!$U$88/1000000,"0"))*$O$86*0.85,"")</f>
        <v/>
      </c>
      <c r="M87" s="269" t="str">
        <f>IF(O4="NE",(IF($P$84=4,('[2]Komentář FR'!$W$86+'[2]Komentář FR'!$Y$88+'[2]Komentář FR'!$AA$88+'[2]Komentář FR'!$AC$88+'[2]Komentář FR'!$AE$88)/1000000,"0"))*$O$86*0.85,"")</f>
        <v/>
      </c>
      <c r="N87" s="254">
        <f t="shared" si="9"/>
        <v>0</v>
      </c>
    </row>
    <row r="88" spans="1:14">
      <c r="A88" s="273"/>
      <c r="B88" s="210">
        <v>5</v>
      </c>
      <c r="C88" s="118" t="s">
        <v>127</v>
      </c>
      <c r="D88" s="267"/>
      <c r="E88" s="292"/>
      <c r="F88" s="299"/>
      <c r="G88" s="269" t="str">
        <f>IF(O4="NE",(IF($P$84=5,('[2]Komentář FR'!$M$88/1000000)*0.85-'[2]VZOR 81'!$F88,"0"))*$O$86,"")</f>
        <v/>
      </c>
      <c r="H88" s="269"/>
      <c r="I88" s="269" t="str">
        <f>IF(O4="NE",(IF($P$84=5,'[2]Komentář FR'!$O$88/1000000,"0"))*$O$86*0.85,"")</f>
        <v/>
      </c>
      <c r="J88" s="269" t="str">
        <f>IF(O4="NE",(IF($P$84=5,'[2]Komentář FR'!$Q$88/1000000,"0"))*$O$86*0.85,"")</f>
        <v/>
      </c>
      <c r="K88" s="269" t="str">
        <f>IF(O4="NE",(IF($P$84=5,'[2]Komentář FR'!$S$88/1000000,"0"))*$O$86*0.85,"")</f>
        <v/>
      </c>
      <c r="L88" s="271" t="str">
        <f>IF(O4="NE",(IF($P$84=5,'[2]Komentář FR'!$U$88/1000000,"0"))*$O$86*0.85,"")</f>
        <v/>
      </c>
      <c r="M88" s="269" t="str">
        <f>IF(O4="NE",(IF($P$84=5,('[2]Komentář FR'!$W$88+'[2]Komentář FR'!$Y$88+'[2]Komentář FR'!$AA$88+'[2]Komentář FR'!$AC$88+'[2]Komentář FR'!$AE$88)/1000000,"0"))*$O$86*0.85,"")</f>
        <v/>
      </c>
      <c r="N88" s="254">
        <f t="shared" si="9"/>
        <v>0</v>
      </c>
    </row>
    <row r="89" spans="1:14">
      <c r="A89" s="273"/>
      <c r="B89" s="210">
        <v>9</v>
      </c>
      <c r="C89" s="161" t="s">
        <v>128</v>
      </c>
      <c r="D89" s="302"/>
      <c r="E89" s="268"/>
      <c r="F89" s="303"/>
      <c r="G89" s="269" t="str">
        <f>IF(O4="NE",(IF($P$84=9,('[2]Komentář FR'!$M$88/1000000)*0.85-'[2]VZOR 81'!$F89,"0"))*$O$86,"")</f>
        <v/>
      </c>
      <c r="H89" s="269"/>
      <c r="I89" s="269" t="str">
        <f>IF(O4="NE",(IF($P$84=9,'[2]Komentář FR'!$O$88/1000000,"0"))*$O$86*0.85,"")</f>
        <v/>
      </c>
      <c r="J89" s="269" t="str">
        <f>IF(O4="NE",(IF($P$84=9,'[2]Komentář FR'!$Q$88/1000000,"0"))*$O$86*0.85,"")</f>
        <v/>
      </c>
      <c r="K89" s="269" t="str">
        <f>IF(O4="NE",(IF($P$84=9,'[2]Komentář FR'!$S$88/1000000,"0"))*$O$86*0.85,"")</f>
        <v/>
      </c>
      <c r="L89" s="271" t="str">
        <f>IF(O4="NE",(IF($P$84=9,'[2]Komentář FR'!$U$88/1000000,"0"))*$O$86*0.85,"")</f>
        <v/>
      </c>
      <c r="M89" s="269" t="str">
        <f>IF(O4="NE",(IF($P$84=9,('[2]Komentář FR'!$W$88+'[2]Komentář FR'!$Y$88+'[2]Komentář FR'!$AA$88+'[2]Komentář FR'!$AC$88+'[2]Komentář FR'!$AE$88)/1000000,"0"))*$O$86*0.85,"")</f>
        <v/>
      </c>
      <c r="N89" s="250">
        <f t="shared" si="9"/>
        <v>0</v>
      </c>
    </row>
    <row r="90" spans="1:14">
      <c r="A90" s="258">
        <v>8151</v>
      </c>
      <c r="B90" s="259" t="s">
        <v>51</v>
      </c>
      <c r="C90" s="279" t="s">
        <v>129</v>
      </c>
      <c r="D90" s="280"/>
      <c r="E90" s="274">
        <f t="shared" ref="E90:M90" si="18">SUM(E84:E89)</f>
        <v>0</v>
      </c>
      <c r="F90" s="275">
        <f t="shared" si="18"/>
        <v>0</v>
      </c>
      <c r="G90" s="275">
        <f t="shared" si="18"/>
        <v>0</v>
      </c>
      <c r="H90" s="264">
        <f t="shared" si="18"/>
        <v>0</v>
      </c>
      <c r="I90" s="275">
        <f t="shared" si="18"/>
        <v>0</v>
      </c>
      <c r="J90" s="275">
        <f t="shared" si="18"/>
        <v>0</v>
      </c>
      <c r="K90" s="275">
        <f t="shared" si="18"/>
        <v>0</v>
      </c>
      <c r="L90" s="276">
        <f t="shared" si="18"/>
        <v>0</v>
      </c>
      <c r="M90" s="281">
        <f t="shared" si="18"/>
        <v>0</v>
      </c>
      <c r="N90" s="278">
        <f t="shared" si="9"/>
        <v>0</v>
      </c>
    </row>
    <row r="91" spans="1:14">
      <c r="A91" s="209">
        <v>8152</v>
      </c>
      <c r="B91" s="210">
        <v>1</v>
      </c>
      <c r="C91" s="169" t="s">
        <v>130</v>
      </c>
      <c r="D91" s="282"/>
      <c r="E91" s="268"/>
      <c r="F91" s="269"/>
      <c r="G91" s="269"/>
      <c r="H91" s="270"/>
      <c r="I91" s="269"/>
      <c r="J91" s="269"/>
      <c r="K91" s="269"/>
      <c r="L91" s="271"/>
      <c r="M91" s="281"/>
      <c r="N91" s="254">
        <f t="shared" si="9"/>
        <v>0</v>
      </c>
    </row>
    <row r="92" spans="1:14">
      <c r="A92" s="273"/>
      <c r="B92" s="210">
        <v>9</v>
      </c>
      <c r="C92" s="127" t="s">
        <v>131</v>
      </c>
      <c r="D92" s="302"/>
      <c r="E92" s="306"/>
      <c r="F92" s="307"/>
      <c r="G92" s="307"/>
      <c r="H92" s="308"/>
      <c r="I92" s="307"/>
      <c r="J92" s="307"/>
      <c r="K92" s="307"/>
      <c r="L92" s="309"/>
      <c r="M92" s="310"/>
      <c r="N92" s="311">
        <f t="shared" si="9"/>
        <v>0</v>
      </c>
    </row>
    <row r="93" spans="1:14">
      <c r="A93" s="258">
        <v>8152</v>
      </c>
      <c r="B93" s="259" t="s">
        <v>51</v>
      </c>
      <c r="C93" s="243" t="s">
        <v>132</v>
      </c>
      <c r="D93" s="261"/>
      <c r="E93" s="274">
        <f t="shared" ref="E93:M93" si="19">SUM(E91:E92)</f>
        <v>0</v>
      </c>
      <c r="F93" s="275">
        <f t="shared" si="19"/>
        <v>0</v>
      </c>
      <c r="G93" s="275">
        <f t="shared" si="19"/>
        <v>0</v>
      </c>
      <c r="H93" s="264">
        <f t="shared" si="19"/>
        <v>0</v>
      </c>
      <c r="I93" s="275">
        <f t="shared" si="19"/>
        <v>0</v>
      </c>
      <c r="J93" s="275">
        <f t="shared" si="19"/>
        <v>0</v>
      </c>
      <c r="K93" s="275">
        <f t="shared" si="19"/>
        <v>0</v>
      </c>
      <c r="L93" s="276">
        <f t="shared" si="19"/>
        <v>0</v>
      </c>
      <c r="M93" s="277">
        <f t="shared" si="19"/>
        <v>0</v>
      </c>
      <c r="N93" s="278">
        <f t="shared" si="9"/>
        <v>0</v>
      </c>
    </row>
    <row r="94" spans="1:14" ht="15.75" thickBot="1">
      <c r="A94" s="258">
        <v>8159</v>
      </c>
      <c r="B94" s="259"/>
      <c r="C94" s="279" t="s">
        <v>133</v>
      </c>
      <c r="D94" s="280"/>
      <c r="E94" s="274"/>
      <c r="F94" s="275"/>
      <c r="G94" s="275"/>
      <c r="H94" s="264"/>
      <c r="I94" s="275"/>
      <c r="J94" s="275"/>
      <c r="K94" s="275"/>
      <c r="L94" s="276"/>
      <c r="M94" s="281"/>
      <c r="N94" s="278">
        <f t="shared" si="9"/>
        <v>0</v>
      </c>
    </row>
    <row r="95" spans="1:14" ht="15.75" thickBot="1">
      <c r="A95" s="214">
        <v>819</v>
      </c>
      <c r="B95" s="215" t="s">
        <v>51</v>
      </c>
      <c r="C95" s="216" t="s">
        <v>134</v>
      </c>
      <c r="D95" s="217"/>
      <c r="E95" s="218">
        <f t="shared" ref="E95:M95" si="20">E94+E93+E90+E83+E79+E75+E70+E65+E60+E55+E52+E51</f>
        <v>14.053128740000002</v>
      </c>
      <c r="F95" s="312">
        <f t="shared" si="20"/>
        <v>28.390330279999997</v>
      </c>
      <c r="G95" s="219">
        <f t="shared" si="20"/>
        <v>1.1547919800000002</v>
      </c>
      <c r="H95" s="220">
        <f t="shared" si="20"/>
        <v>0</v>
      </c>
      <c r="I95" s="219">
        <f t="shared" si="20"/>
        <v>464.84500000000003</v>
      </c>
      <c r="J95" s="219">
        <f t="shared" si="20"/>
        <v>439</v>
      </c>
      <c r="K95" s="219">
        <f t="shared" si="20"/>
        <v>439</v>
      </c>
      <c r="L95" s="218">
        <f t="shared" si="20"/>
        <v>552.79349999999999</v>
      </c>
      <c r="M95" s="313">
        <f t="shared" si="20"/>
        <v>23421.958436999998</v>
      </c>
      <c r="N95" s="224">
        <f>SUM(E95:M95)</f>
        <v>25361.195187999998</v>
      </c>
    </row>
  </sheetData>
  <mergeCells count="10">
    <mergeCell ref="M2:N2"/>
    <mergeCell ref="A4:B4"/>
    <mergeCell ref="C4:L4"/>
    <mergeCell ref="A5:B5"/>
    <mergeCell ref="C5:L5"/>
    <mergeCell ref="A6:B6"/>
    <mergeCell ref="C6:L6"/>
    <mergeCell ref="C7:D7"/>
    <mergeCell ref="A2:J3"/>
    <mergeCell ref="K2:L3"/>
  </mergeCells>
  <conditionalFormatting sqref="E84:F84">
    <cfRule type="expression" dxfId="42" priority="15">
      <formula>$P$84=1</formula>
    </cfRule>
  </conditionalFormatting>
  <conditionalFormatting sqref="M85">
    <cfRule type="cellIs" dxfId="41" priority="14" operator="equal">
      <formula>0</formula>
    </cfRule>
  </conditionalFormatting>
  <conditionalFormatting sqref="M86:M89">
    <cfRule type="cellIs" dxfId="40" priority="13" operator="equal">
      <formula>0</formula>
    </cfRule>
  </conditionalFormatting>
  <conditionalFormatting sqref="E85:F85">
    <cfRule type="expression" dxfId="39" priority="12">
      <formula>$P$84=2</formula>
    </cfRule>
  </conditionalFormatting>
  <conditionalFormatting sqref="E86:F86">
    <cfRule type="expression" dxfId="38" priority="11">
      <formula>$P$84=3</formula>
    </cfRule>
  </conditionalFormatting>
  <conditionalFormatting sqref="E87:F87">
    <cfRule type="expression" dxfId="37" priority="10">
      <formula>$P$84=4</formula>
    </cfRule>
  </conditionalFormatting>
  <conditionalFormatting sqref="E88:F88">
    <cfRule type="expression" dxfId="36" priority="9">
      <formula>$P$84=5</formula>
    </cfRule>
  </conditionalFormatting>
  <conditionalFormatting sqref="E89:F89">
    <cfRule type="expression" dxfId="35" priority="8">
      <formula>$P$84=9</formula>
    </cfRule>
  </conditionalFormatting>
  <conditionalFormatting sqref="G84">
    <cfRule type="expression" dxfId="34" priority="7">
      <formula>G84=0</formula>
    </cfRule>
  </conditionalFormatting>
  <conditionalFormatting sqref="G85:G88">
    <cfRule type="expression" dxfId="33" priority="6">
      <formula>G85=0</formula>
    </cfRule>
  </conditionalFormatting>
  <conditionalFormatting sqref="H84:L84">
    <cfRule type="expression" dxfId="32" priority="5">
      <formula>H84=0</formula>
    </cfRule>
  </conditionalFormatting>
  <conditionalFormatting sqref="H85:L88">
    <cfRule type="expression" dxfId="31" priority="4">
      <formula>H85=0</formula>
    </cfRule>
  </conditionalFormatting>
  <conditionalFormatting sqref="G89">
    <cfRule type="expression" dxfId="30" priority="3">
      <formula>G89=0</formula>
    </cfRule>
  </conditionalFormatting>
  <conditionalFormatting sqref="H89:L89">
    <cfRule type="expression" dxfId="29" priority="2">
      <formula>H89=0</formula>
    </cfRule>
  </conditionalFormatting>
  <conditionalFormatting sqref="M84">
    <cfRule type="cellIs" dxfId="28" priority="1" operator="equal">
      <formula>0</formula>
    </cfRule>
  </conditionalFormatting>
  <dataValidations count="1">
    <dataValidation type="textLength" operator="lessThan" allowBlank="1" showInputMessage="1" showErrorMessage="1" errorTitle="Příliš dlouhý text !" error="Maximální délka textu je 100 znaků včetně mezer." sqref="A5">
      <formula1>151</formula1>
    </dataValidation>
  </dataValidations>
  <pageMargins left="0.70866141732283472" right="0.70866141732283472" top="0.56999999999999995" bottom="0.31496062992125984" header="0.31496062992125984" footer="0.31496062992125984"/>
  <pageSetup paperSize="9" scale="56" fitToHeight="99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R98"/>
  <sheetViews>
    <sheetView zoomScale="85" zoomScaleNormal="85" workbookViewId="0">
      <selection activeCell="L11" sqref="L11"/>
    </sheetView>
  </sheetViews>
  <sheetFormatPr defaultColWidth="9.140625" defaultRowHeight="15"/>
  <cols>
    <col min="1" max="1" width="5" style="314" customWidth="1"/>
    <col min="2" max="2" width="8.28515625" style="67" customWidth="1"/>
    <col min="3" max="3" width="24.7109375" style="67" customWidth="1"/>
    <col min="4" max="4" width="23.7109375" style="67" customWidth="1"/>
    <col min="5" max="13" width="8.7109375" style="67" customWidth="1"/>
    <col min="14" max="14" width="19.42578125" style="67" customWidth="1"/>
    <col min="15" max="15" width="16.5703125" style="67" customWidth="1"/>
    <col min="16" max="16" width="6.7109375" style="67" customWidth="1"/>
    <col min="17" max="17" width="5.140625" style="67" customWidth="1"/>
    <col min="18" max="18" width="29.42578125" style="67" customWidth="1"/>
    <col min="19" max="16384" width="9.140625" style="67"/>
  </cols>
  <sheetData>
    <row r="1" spans="1:17" ht="15.75" thickBot="1">
      <c r="A1" s="511"/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2"/>
      <c r="P1" s="2"/>
      <c r="Q1" s="2"/>
    </row>
    <row r="2" spans="1:17" ht="15.75">
      <c r="A2" s="495" t="s">
        <v>25</v>
      </c>
      <c r="B2" s="496"/>
      <c r="C2" s="496"/>
      <c r="D2" s="496"/>
      <c r="E2" s="496"/>
      <c r="F2" s="496"/>
      <c r="G2" s="496"/>
      <c r="H2" s="496"/>
      <c r="I2" s="496"/>
      <c r="J2" s="496"/>
      <c r="K2" s="499" t="s">
        <v>26</v>
      </c>
      <c r="L2" s="500"/>
      <c r="M2" s="503" t="s">
        <v>27</v>
      </c>
      <c r="N2" s="504"/>
      <c r="O2" s="512" t="s">
        <v>28</v>
      </c>
      <c r="P2" s="2"/>
    </row>
    <row r="3" spans="1:17" ht="19.5" thickBot="1">
      <c r="A3" s="497"/>
      <c r="B3" s="498"/>
      <c r="C3" s="498"/>
      <c r="D3" s="498"/>
      <c r="E3" s="498"/>
      <c r="F3" s="498"/>
      <c r="G3" s="498"/>
      <c r="H3" s="498"/>
      <c r="I3" s="498"/>
      <c r="J3" s="498"/>
      <c r="K3" s="501"/>
      <c r="L3" s="502"/>
      <c r="M3" s="68">
        <v>2018</v>
      </c>
      <c r="N3" s="356">
        <v>-2023</v>
      </c>
      <c r="O3" s="513"/>
    </row>
    <row r="4" spans="1:17" s="3" customFormat="1">
      <c r="A4" s="442" t="s">
        <v>2</v>
      </c>
      <c r="B4" s="443"/>
      <c r="C4" s="505" t="s">
        <v>199</v>
      </c>
      <c r="D4" s="506"/>
      <c r="E4" s="506"/>
      <c r="F4" s="506"/>
      <c r="G4" s="506"/>
      <c r="H4" s="506"/>
      <c r="I4" s="506"/>
      <c r="J4" s="506"/>
      <c r="K4" s="506"/>
      <c r="L4" s="507"/>
      <c r="M4" s="7"/>
      <c r="N4" s="69"/>
      <c r="O4" s="508" t="str">
        <f>'[1]VZOR 82'!O4</f>
        <v>NE</v>
      </c>
    </row>
    <row r="5" spans="1:17" s="3" customFormat="1" ht="15.75">
      <c r="A5" s="410" t="s">
        <v>3</v>
      </c>
      <c r="B5" s="411"/>
      <c r="C5" s="412">
        <v>5813520029</v>
      </c>
      <c r="D5" s="413"/>
      <c r="E5" s="413"/>
      <c r="F5" s="413"/>
      <c r="G5" s="413"/>
      <c r="H5" s="413"/>
      <c r="I5" s="413"/>
      <c r="J5" s="413"/>
      <c r="K5" s="413"/>
      <c r="L5" s="414"/>
      <c r="M5" s="10"/>
      <c r="N5" s="9"/>
      <c r="O5" s="509"/>
    </row>
    <row r="6" spans="1:17" s="3" customFormat="1" ht="16.5" thickBot="1">
      <c r="A6" s="415" t="s">
        <v>4</v>
      </c>
      <c r="B6" s="416"/>
      <c r="C6" s="490" t="str">
        <f>'80'!C6:L6</f>
        <v>Správa železnic, státní organizace</v>
      </c>
      <c r="D6" s="491"/>
      <c r="E6" s="491"/>
      <c r="F6" s="491"/>
      <c r="G6" s="491"/>
      <c r="H6" s="491"/>
      <c r="I6" s="491"/>
      <c r="J6" s="491"/>
      <c r="K6" s="491"/>
      <c r="L6" s="492"/>
      <c r="M6" s="10"/>
      <c r="N6" s="9"/>
      <c r="O6" s="510"/>
    </row>
    <row r="7" spans="1:17" ht="16.5" thickTop="1">
      <c r="A7" s="70"/>
      <c r="B7" s="71"/>
      <c r="C7" s="493"/>
      <c r="D7" s="494"/>
      <c r="E7" s="72" t="s">
        <v>29</v>
      </c>
      <c r="F7" s="73" t="s">
        <v>29</v>
      </c>
      <c r="G7" s="74" t="s">
        <v>30</v>
      </c>
      <c r="H7" s="75" t="s">
        <v>31</v>
      </c>
      <c r="I7" s="76" t="s">
        <v>32</v>
      </c>
      <c r="J7" s="77"/>
      <c r="K7" s="77"/>
      <c r="L7" s="78"/>
      <c r="M7" s="79" t="s">
        <v>33</v>
      </c>
      <c r="N7" s="80" t="s">
        <v>34</v>
      </c>
    </row>
    <row r="8" spans="1:17" ht="16.5" thickBot="1">
      <c r="A8" s="81"/>
      <c r="B8" s="82"/>
      <c r="C8" s="83"/>
      <c r="D8" s="84" t="s">
        <v>35</v>
      </c>
      <c r="E8" s="85" t="s">
        <v>36</v>
      </c>
      <c r="F8" s="86" t="s">
        <v>36</v>
      </c>
      <c r="G8" s="85" t="s">
        <v>37</v>
      </c>
      <c r="H8" s="87" t="s">
        <v>38</v>
      </c>
      <c r="I8" s="88" t="s">
        <v>39</v>
      </c>
      <c r="J8" s="89" t="s">
        <v>40</v>
      </c>
      <c r="K8" s="90" t="s">
        <v>40</v>
      </c>
      <c r="L8" s="88" t="s">
        <v>40</v>
      </c>
      <c r="M8" s="85" t="s">
        <v>41</v>
      </c>
      <c r="N8" s="91" t="s">
        <v>42</v>
      </c>
    </row>
    <row r="9" spans="1:17" ht="16.5" thickBot="1">
      <c r="A9" s="92" t="s">
        <v>43</v>
      </c>
      <c r="B9" s="93"/>
      <c r="C9" s="94" t="s">
        <v>44</v>
      </c>
      <c r="D9" s="95"/>
      <c r="E9" s="96">
        <f>$F$9-1</f>
        <v>2017</v>
      </c>
      <c r="F9" s="97">
        <f>$G$9-1</f>
        <v>2018</v>
      </c>
      <c r="G9" s="98">
        <v>2019</v>
      </c>
      <c r="H9" s="99">
        <v>2019</v>
      </c>
      <c r="I9" s="100">
        <f>$G$9+1</f>
        <v>2020</v>
      </c>
      <c r="J9" s="100">
        <f>$G$9+2</f>
        <v>2021</v>
      </c>
      <c r="K9" s="100">
        <f>$G$9+3</f>
        <v>2022</v>
      </c>
      <c r="L9" s="100">
        <f>$G$9+4</f>
        <v>2023</v>
      </c>
      <c r="M9" s="100">
        <f>$G$9+5</f>
        <v>2024</v>
      </c>
      <c r="N9" s="101" t="s">
        <v>45</v>
      </c>
    </row>
    <row r="10" spans="1:17" ht="17.25" thickTop="1" thickBot="1">
      <c r="A10" s="102"/>
      <c r="B10" s="103"/>
      <c r="C10" s="103"/>
      <c r="D10" s="103"/>
      <c r="E10" s="104"/>
      <c r="F10" s="104"/>
      <c r="G10" s="104"/>
      <c r="H10" s="105"/>
      <c r="I10" s="104"/>
      <c r="J10" s="104"/>
      <c r="K10" s="104"/>
      <c r="L10" s="104"/>
      <c r="M10" s="104"/>
      <c r="N10" s="106"/>
    </row>
    <row r="11" spans="1:17">
      <c r="A11" s="107">
        <v>8121</v>
      </c>
      <c r="B11" s="108">
        <v>1</v>
      </c>
      <c r="C11" s="109" t="s">
        <v>46</v>
      </c>
      <c r="D11" s="110"/>
      <c r="E11" s="111"/>
      <c r="F11" s="112">
        <v>0.5</v>
      </c>
      <c r="G11" s="112">
        <v>0.5</v>
      </c>
      <c r="H11" s="113"/>
      <c r="I11" s="112">
        <f>0.832-0.015</f>
        <v>0.81699999999999995</v>
      </c>
      <c r="J11" s="112">
        <v>0.83199999999999996</v>
      </c>
      <c r="K11" s="112">
        <f>1+0.179</f>
        <v>1.179</v>
      </c>
      <c r="L11" s="114">
        <v>3.9784000000000002</v>
      </c>
      <c r="M11" s="115">
        <v>0</v>
      </c>
      <c r="N11" s="351">
        <f t="shared" ref="N11:N48" si="0">SUM(E11:M11)-H11</f>
        <v>7.8064</v>
      </c>
      <c r="O11" s="368"/>
    </row>
    <row r="12" spans="1:17">
      <c r="A12" s="116"/>
      <c r="B12" s="117">
        <v>2</v>
      </c>
      <c r="C12" s="118" t="s">
        <v>47</v>
      </c>
      <c r="D12" s="119"/>
      <c r="E12" s="120"/>
      <c r="F12" s="121">
        <v>0</v>
      </c>
      <c r="G12" s="122">
        <v>1.5</v>
      </c>
      <c r="H12" s="123"/>
      <c r="I12" s="122">
        <v>7.8979999999999997</v>
      </c>
      <c r="J12" s="122">
        <f>7.898-1.195+0.379</f>
        <v>7.081999999999999</v>
      </c>
      <c r="K12" s="122">
        <v>0</v>
      </c>
      <c r="L12" s="124">
        <v>0</v>
      </c>
      <c r="M12" s="125">
        <v>0</v>
      </c>
      <c r="N12" s="352">
        <f t="shared" si="0"/>
        <v>16.479999999999997</v>
      </c>
      <c r="O12" s="368"/>
    </row>
    <row r="13" spans="1:17">
      <c r="A13" s="116"/>
      <c r="B13" s="117">
        <v>3</v>
      </c>
      <c r="C13" s="118" t="s">
        <v>48</v>
      </c>
      <c r="D13" s="119"/>
      <c r="E13" s="120"/>
      <c r="F13" s="121">
        <f>IF(O4="NE",('[1]2A'!I43)/1000000-'[1]VZOR 81'!E13,"")</f>
        <v>0</v>
      </c>
      <c r="G13" s="122">
        <f>IF(O4="NE",('[1]2A'!J43)/1000000,"")</f>
        <v>0</v>
      </c>
      <c r="H13" s="123"/>
      <c r="I13" s="122">
        <f>IF(O4="NE",('[1]2A'!K43)/1000000,"")</f>
        <v>0</v>
      </c>
      <c r="J13" s="122">
        <f>IF(O4="NE",('[1]2A'!L43)/1000000,"")</f>
        <v>0</v>
      </c>
      <c r="K13" s="122">
        <f>IF(O4="NE",('[1]2A'!M43)/1000000,"")</f>
        <v>0</v>
      </c>
      <c r="L13" s="124">
        <v>0</v>
      </c>
      <c r="M13" s="125">
        <f>IF(O4="NE",SUM('[1]2A'!O43:S43)/1000000,"")</f>
        <v>0</v>
      </c>
      <c r="N13" s="352">
        <f t="shared" si="0"/>
        <v>0</v>
      </c>
    </row>
    <row r="14" spans="1:17">
      <c r="A14" s="116"/>
      <c r="B14" s="117">
        <v>4</v>
      </c>
      <c r="C14" s="118" t="s">
        <v>49</v>
      </c>
      <c r="D14" s="119"/>
      <c r="E14" s="120"/>
      <c r="F14" s="121">
        <f>IF(O4="NE",('[1]2A'!I44)/1000000-'[1]VZOR 81'!E14,"")</f>
        <v>0</v>
      </c>
      <c r="G14" s="122">
        <f>IF(O4="NE",('[1]2A'!J44)/1000000,"")</f>
        <v>0</v>
      </c>
      <c r="H14" s="123"/>
      <c r="I14" s="122">
        <f>IF(O4="NE",('[1]2A'!K44)/1000000,"")</f>
        <v>0</v>
      </c>
      <c r="J14" s="122">
        <f>IF(O4="NE",('[1]2A'!L44)/1000000,"")</f>
        <v>0</v>
      </c>
      <c r="K14" s="122">
        <f>IF(O4="NE",('[1]2A'!M44)/1000000,"")</f>
        <v>0</v>
      </c>
      <c r="L14" s="124">
        <f>IF(O4="NE",('[1]2A'!N44)/1000000,"")</f>
        <v>0</v>
      </c>
      <c r="M14" s="125">
        <f>IF(O4="NE",SUM('[1]2A'!O44:S44)/1000000,"")</f>
        <v>0</v>
      </c>
      <c r="N14" s="352">
        <f t="shared" si="0"/>
        <v>0</v>
      </c>
    </row>
    <row r="15" spans="1:17">
      <c r="A15" s="116"/>
      <c r="B15" s="117">
        <v>9</v>
      </c>
      <c r="C15" s="127" t="s">
        <v>50</v>
      </c>
      <c r="D15" s="128"/>
      <c r="E15" s="120"/>
      <c r="F15" s="121">
        <f>IF(O4="NE",('[1]2A'!$I$49+'[1]2A'!$I$46+'[1]2A'!$I$45)/1000000-'[1]VZOR 81'!$E$15,"")</f>
        <v>0</v>
      </c>
      <c r="G15" s="122">
        <f>IF(O4="NE",('[1]2A'!$J$49+'[1]2A'!$J$45+'[1]2A'!$J$46)/1000000,"")</f>
        <v>4.2200000000000001E-4</v>
      </c>
      <c r="H15" s="123"/>
      <c r="I15" s="122">
        <v>0</v>
      </c>
      <c r="J15" s="122">
        <v>0.57399999999999995</v>
      </c>
      <c r="K15" s="122">
        <f>0.55+0.04</f>
        <v>0.59000000000000008</v>
      </c>
      <c r="L15" s="124">
        <f>0.574-0.003</f>
        <v>0.57099999999999995</v>
      </c>
      <c r="M15" s="125">
        <v>0</v>
      </c>
      <c r="N15" s="353">
        <f>SUM($E$15:$M$15)-$H$15</f>
        <v>1.735422</v>
      </c>
    </row>
    <row r="16" spans="1:17" ht="15.75" thickBot="1">
      <c r="A16" s="129">
        <v>8121</v>
      </c>
      <c r="B16" s="130" t="s">
        <v>51</v>
      </c>
      <c r="C16" s="131" t="s">
        <v>52</v>
      </c>
      <c r="D16" s="132"/>
      <c r="E16" s="133">
        <f t="shared" ref="E16:L16" si="1">SUM(E11:E15)</f>
        <v>0</v>
      </c>
      <c r="F16" s="134">
        <f t="shared" si="1"/>
        <v>0.5</v>
      </c>
      <c r="G16" s="134">
        <f t="shared" si="1"/>
        <v>2.0004219999999999</v>
      </c>
      <c r="H16" s="135">
        <f t="shared" si="1"/>
        <v>0</v>
      </c>
      <c r="I16" s="134">
        <f t="shared" si="1"/>
        <v>8.7149999999999999</v>
      </c>
      <c r="J16" s="134">
        <f t="shared" si="1"/>
        <v>8.4879999999999995</v>
      </c>
      <c r="K16" s="134">
        <f t="shared" si="1"/>
        <v>1.7690000000000001</v>
      </c>
      <c r="L16" s="136">
        <f t="shared" si="1"/>
        <v>4.5494000000000003</v>
      </c>
      <c r="M16" s="137">
        <f>SUM(M11:M15)</f>
        <v>0</v>
      </c>
      <c r="N16" s="354">
        <f t="shared" si="0"/>
        <v>26.021822</v>
      </c>
    </row>
    <row r="17" spans="1:15">
      <c r="A17" s="139">
        <v>8124</v>
      </c>
      <c r="B17" s="140"/>
      <c r="C17" s="141" t="s">
        <v>53</v>
      </c>
      <c r="D17" s="142"/>
      <c r="E17" s="143"/>
      <c r="F17" s="144">
        <f>IF(O4="NE",('[1]2B'!$I$7)/1000000-'[1]VZOR 81'!$E$17,"")</f>
        <v>0</v>
      </c>
      <c r="G17" s="144">
        <f>IF(O4="NE",('[1]2B'!$J$7)/1000000,"")</f>
        <v>0</v>
      </c>
      <c r="H17" s="145"/>
      <c r="I17" s="144">
        <f>IF(O4="NE",('[1]2B'!$K$7)/1000000,"")</f>
        <v>0</v>
      </c>
      <c r="J17" s="144">
        <f>IF(O4="NE",('[1]2B'!$L$7)/1000000,"")</f>
        <v>0</v>
      </c>
      <c r="K17" s="144">
        <v>90.858000000000004</v>
      </c>
      <c r="L17" s="369">
        <v>92.992999999999995</v>
      </c>
      <c r="M17" s="370">
        <v>0</v>
      </c>
      <c r="N17" s="355">
        <f>SUM($E$17:$M$17)-$H$17</f>
        <v>183.851</v>
      </c>
      <c r="O17" s="368"/>
    </row>
    <row r="18" spans="1:15" ht="15.75" thickBot="1">
      <c r="A18" s="129">
        <v>8125</v>
      </c>
      <c r="B18" s="130"/>
      <c r="C18" s="131" t="s">
        <v>54</v>
      </c>
      <c r="D18" s="132"/>
      <c r="E18" s="147"/>
      <c r="F18" s="148">
        <f>IF(O4="NE",('[1]2B'!$I$15)/1000000-'[1]VZOR 81'!$E$18,"")</f>
        <v>0</v>
      </c>
      <c r="G18" s="149">
        <f>IF(O4="NE",('[1]2B'!$J$15)/1000000,"")</f>
        <v>0</v>
      </c>
      <c r="H18" s="150"/>
      <c r="I18" s="149">
        <f>IF(O4="NE",('[1]2B'!$K$15)/1000000,"")</f>
        <v>0</v>
      </c>
      <c r="J18" s="149">
        <f>IF(O4="NE",('[1]2B'!$L$15)/1000000,"")</f>
        <v>0</v>
      </c>
      <c r="K18" s="149">
        <f>IF(O4="NE",('[1]2B'!$M$15)/1000000,"")</f>
        <v>0</v>
      </c>
      <c r="L18" s="151">
        <v>0</v>
      </c>
      <c r="M18" s="152">
        <v>0</v>
      </c>
      <c r="N18" s="354">
        <f>SUM($E$18:$M$18)-$H$18</f>
        <v>0</v>
      </c>
    </row>
    <row r="19" spans="1:15">
      <c r="A19" s="107">
        <v>8126</v>
      </c>
      <c r="B19" s="108">
        <v>1</v>
      </c>
      <c r="C19" s="109" t="s">
        <v>55</v>
      </c>
      <c r="D19" s="110"/>
      <c r="E19" s="114"/>
      <c r="F19" s="112"/>
      <c r="G19" s="153"/>
      <c r="H19" s="113"/>
      <c r="I19" s="153"/>
      <c r="J19" s="153"/>
      <c r="K19" s="153"/>
      <c r="L19" s="114"/>
      <c r="M19" s="115"/>
      <c r="N19" s="351">
        <f t="shared" si="0"/>
        <v>0</v>
      </c>
    </row>
    <row r="20" spans="1:15">
      <c r="A20" s="116"/>
      <c r="B20" s="117">
        <v>2</v>
      </c>
      <c r="C20" s="118" t="s">
        <v>56</v>
      </c>
      <c r="D20" s="119"/>
      <c r="E20" s="124"/>
      <c r="F20" s="121"/>
      <c r="G20" s="122"/>
      <c r="H20" s="123"/>
      <c r="I20" s="122"/>
      <c r="J20" s="122"/>
      <c r="K20" s="122"/>
      <c r="L20" s="124"/>
      <c r="M20" s="125"/>
      <c r="N20" s="352">
        <f t="shared" si="0"/>
        <v>0</v>
      </c>
    </row>
    <row r="21" spans="1:15">
      <c r="A21" s="116"/>
      <c r="B21" s="117">
        <v>3</v>
      </c>
      <c r="C21" s="118" t="s">
        <v>57</v>
      </c>
      <c r="D21" s="119"/>
      <c r="E21" s="124"/>
      <c r="F21" s="121"/>
      <c r="G21" s="122"/>
      <c r="H21" s="123"/>
      <c r="I21" s="122"/>
      <c r="J21" s="122"/>
      <c r="K21" s="122"/>
      <c r="L21" s="124"/>
      <c r="M21" s="125"/>
      <c r="N21" s="352">
        <f t="shared" si="0"/>
        <v>0</v>
      </c>
    </row>
    <row r="22" spans="1:15">
      <c r="A22" s="116"/>
      <c r="B22" s="117">
        <v>4</v>
      </c>
      <c r="C22" s="118" t="s">
        <v>58</v>
      </c>
      <c r="D22" s="119"/>
      <c r="E22" s="124"/>
      <c r="F22" s="121"/>
      <c r="G22" s="122"/>
      <c r="H22" s="123"/>
      <c r="I22" s="122"/>
      <c r="J22" s="122"/>
      <c r="K22" s="122"/>
      <c r="L22" s="124"/>
      <c r="M22" s="125"/>
      <c r="N22" s="352">
        <f t="shared" si="0"/>
        <v>0</v>
      </c>
    </row>
    <row r="23" spans="1:15">
      <c r="A23" s="116"/>
      <c r="B23" s="117">
        <v>9</v>
      </c>
      <c r="C23" s="127" t="s">
        <v>59</v>
      </c>
      <c r="D23" s="128"/>
      <c r="E23" s="154"/>
      <c r="F23" s="155"/>
      <c r="G23" s="156"/>
      <c r="H23" s="157"/>
      <c r="I23" s="156"/>
      <c r="J23" s="156"/>
      <c r="K23" s="156"/>
      <c r="L23" s="154"/>
      <c r="M23" s="146"/>
      <c r="N23" s="353">
        <f t="shared" si="0"/>
        <v>0</v>
      </c>
    </row>
    <row r="24" spans="1:15" ht="15.75" thickBot="1">
      <c r="A24" s="129">
        <v>8126</v>
      </c>
      <c r="B24" s="130" t="s">
        <v>51</v>
      </c>
      <c r="C24" s="131" t="s">
        <v>60</v>
      </c>
      <c r="D24" s="132"/>
      <c r="E24" s="133">
        <f t="shared" ref="E24:M24" si="2">SUM(E19:E23)</f>
        <v>0</v>
      </c>
      <c r="F24" s="134">
        <f t="shared" si="2"/>
        <v>0</v>
      </c>
      <c r="G24" s="158">
        <f t="shared" si="2"/>
        <v>0</v>
      </c>
      <c r="H24" s="159">
        <f t="shared" si="2"/>
        <v>0</v>
      </c>
      <c r="I24" s="158">
        <f t="shared" si="2"/>
        <v>0</v>
      </c>
      <c r="J24" s="158">
        <f t="shared" si="2"/>
        <v>0</v>
      </c>
      <c r="K24" s="158">
        <f t="shared" si="2"/>
        <v>0</v>
      </c>
      <c r="L24" s="133">
        <f t="shared" si="2"/>
        <v>0</v>
      </c>
      <c r="M24" s="160">
        <f t="shared" si="2"/>
        <v>0</v>
      </c>
      <c r="N24" s="354">
        <f t="shared" si="0"/>
        <v>0</v>
      </c>
    </row>
    <row r="25" spans="1:15">
      <c r="A25" s="116">
        <v>8127</v>
      </c>
      <c r="B25" s="117">
        <v>1</v>
      </c>
      <c r="C25" s="118" t="s">
        <v>61</v>
      </c>
      <c r="D25" s="119"/>
      <c r="E25" s="124"/>
      <c r="F25" s="121"/>
      <c r="G25" s="122"/>
      <c r="H25" s="123"/>
      <c r="I25" s="122"/>
      <c r="J25" s="122"/>
      <c r="K25" s="122"/>
      <c r="L25" s="124"/>
      <c r="M25" s="125"/>
      <c r="N25" s="352">
        <f t="shared" si="0"/>
        <v>0</v>
      </c>
    </row>
    <row r="26" spans="1:15">
      <c r="A26" s="116"/>
      <c r="B26" s="117">
        <v>2</v>
      </c>
      <c r="C26" s="118" t="s">
        <v>62</v>
      </c>
      <c r="D26" s="119"/>
      <c r="E26" s="124"/>
      <c r="F26" s="121"/>
      <c r="G26" s="122"/>
      <c r="H26" s="123"/>
      <c r="I26" s="122"/>
      <c r="J26" s="122"/>
      <c r="K26" s="122"/>
      <c r="L26" s="124"/>
      <c r="M26" s="125"/>
      <c r="N26" s="352">
        <f t="shared" si="0"/>
        <v>0</v>
      </c>
    </row>
    <row r="27" spans="1:15">
      <c r="A27" s="116"/>
      <c r="B27" s="117">
        <v>3</v>
      </c>
      <c r="C27" s="118" t="s">
        <v>63</v>
      </c>
      <c r="D27" s="119"/>
      <c r="E27" s="124"/>
      <c r="F27" s="121"/>
      <c r="G27" s="122"/>
      <c r="H27" s="123"/>
      <c r="I27" s="122"/>
      <c r="J27" s="122"/>
      <c r="K27" s="122"/>
      <c r="L27" s="124"/>
      <c r="M27" s="125"/>
      <c r="N27" s="352">
        <f t="shared" si="0"/>
        <v>0</v>
      </c>
    </row>
    <row r="28" spans="1:15">
      <c r="A28" s="116"/>
      <c r="B28" s="117">
        <v>9</v>
      </c>
      <c r="C28" s="161" t="s">
        <v>64</v>
      </c>
      <c r="D28" s="162"/>
      <c r="E28" s="163"/>
      <c r="F28" s="164"/>
      <c r="G28" s="165"/>
      <c r="H28" s="166"/>
      <c r="I28" s="165"/>
      <c r="J28" s="165"/>
      <c r="K28" s="165"/>
      <c r="L28" s="163"/>
      <c r="M28" s="167"/>
      <c r="N28" s="366">
        <f t="shared" si="0"/>
        <v>0</v>
      </c>
    </row>
    <row r="29" spans="1:15" ht="15.75" thickBot="1">
      <c r="A29" s="129">
        <v>8127</v>
      </c>
      <c r="B29" s="130" t="s">
        <v>51</v>
      </c>
      <c r="C29" s="131" t="s">
        <v>65</v>
      </c>
      <c r="D29" s="132"/>
      <c r="E29" s="133">
        <f t="shared" ref="E29:M29" si="3">SUM(E25:E28)</f>
        <v>0</v>
      </c>
      <c r="F29" s="134">
        <f t="shared" si="3"/>
        <v>0</v>
      </c>
      <c r="G29" s="158">
        <f t="shared" si="3"/>
        <v>0</v>
      </c>
      <c r="H29" s="159">
        <f t="shared" si="3"/>
        <v>0</v>
      </c>
      <c r="I29" s="158">
        <f t="shared" si="3"/>
        <v>0</v>
      </c>
      <c r="J29" s="158">
        <f t="shared" si="3"/>
        <v>0</v>
      </c>
      <c r="K29" s="158">
        <f t="shared" si="3"/>
        <v>0</v>
      </c>
      <c r="L29" s="133">
        <f t="shared" si="3"/>
        <v>0</v>
      </c>
      <c r="M29" s="160">
        <f t="shared" si="3"/>
        <v>0</v>
      </c>
      <c r="N29" s="354">
        <f t="shared" si="0"/>
        <v>0</v>
      </c>
    </row>
    <row r="30" spans="1:15">
      <c r="A30" s="116">
        <v>8128</v>
      </c>
      <c r="B30" s="117">
        <v>1</v>
      </c>
      <c r="C30" s="169" t="s">
        <v>66</v>
      </c>
      <c r="D30" s="119"/>
      <c r="E30" s="170"/>
      <c r="F30" s="171"/>
      <c r="G30" s="172"/>
      <c r="H30" s="173"/>
      <c r="I30" s="172"/>
      <c r="J30" s="172"/>
      <c r="K30" s="122"/>
      <c r="L30" s="124"/>
      <c r="M30" s="125"/>
      <c r="N30" s="352">
        <f t="shared" si="0"/>
        <v>0</v>
      </c>
    </row>
    <row r="31" spans="1:15">
      <c r="A31" s="116"/>
      <c r="B31" s="117">
        <v>2</v>
      </c>
      <c r="C31" s="174" t="s">
        <v>67</v>
      </c>
      <c r="D31" s="119"/>
      <c r="E31" s="170"/>
      <c r="F31" s="171"/>
      <c r="G31" s="172"/>
      <c r="H31" s="173"/>
      <c r="I31" s="172"/>
      <c r="J31" s="172"/>
      <c r="K31" s="122"/>
      <c r="L31" s="124"/>
      <c r="M31" s="125"/>
      <c r="N31" s="352">
        <f t="shared" si="0"/>
        <v>0</v>
      </c>
    </row>
    <row r="32" spans="1:15">
      <c r="A32" s="116"/>
      <c r="B32" s="117">
        <v>3</v>
      </c>
      <c r="C32" s="118" t="s">
        <v>68</v>
      </c>
      <c r="D32" s="119"/>
      <c r="E32" s="170"/>
      <c r="F32" s="171"/>
      <c r="G32" s="172"/>
      <c r="H32" s="173"/>
      <c r="I32" s="172"/>
      <c r="J32" s="172"/>
      <c r="K32" s="122"/>
      <c r="L32" s="124"/>
      <c r="M32" s="175"/>
      <c r="N32" s="352">
        <f t="shared" si="0"/>
        <v>0</v>
      </c>
    </row>
    <row r="33" spans="1:15">
      <c r="A33" s="116"/>
      <c r="B33" s="117">
        <v>4</v>
      </c>
      <c r="C33" s="118" t="s">
        <v>69</v>
      </c>
      <c r="D33" s="119"/>
      <c r="E33" s="170"/>
      <c r="F33" s="121"/>
      <c r="G33" s="122"/>
      <c r="H33" s="123"/>
      <c r="I33" s="122"/>
      <c r="J33" s="122"/>
      <c r="K33" s="122"/>
      <c r="L33" s="124"/>
      <c r="M33" s="125"/>
      <c r="N33" s="352">
        <f t="shared" si="0"/>
        <v>0</v>
      </c>
    </row>
    <row r="34" spans="1:15">
      <c r="A34" s="116"/>
      <c r="B34" s="117">
        <v>5</v>
      </c>
      <c r="C34" s="118" t="s">
        <v>70</v>
      </c>
      <c r="D34" s="119"/>
      <c r="E34" s="170"/>
      <c r="F34" s="121"/>
      <c r="G34" s="122"/>
      <c r="H34" s="123"/>
      <c r="I34" s="122"/>
      <c r="J34" s="122"/>
      <c r="K34" s="122"/>
      <c r="L34" s="124"/>
      <c r="M34" s="125"/>
      <c r="N34" s="352">
        <f t="shared" si="0"/>
        <v>0</v>
      </c>
    </row>
    <row r="35" spans="1:15">
      <c r="A35" s="116"/>
      <c r="B35" s="117">
        <v>6</v>
      </c>
      <c r="C35" s="118" t="s">
        <v>71</v>
      </c>
      <c r="D35" s="119"/>
      <c r="E35" s="170"/>
      <c r="F35" s="121"/>
      <c r="G35" s="122"/>
      <c r="H35" s="123"/>
      <c r="I35" s="122"/>
      <c r="J35" s="122"/>
      <c r="K35" s="122"/>
      <c r="L35" s="124"/>
      <c r="M35" s="125"/>
      <c r="N35" s="352">
        <f t="shared" si="0"/>
        <v>0</v>
      </c>
    </row>
    <row r="36" spans="1:15">
      <c r="A36" s="116"/>
      <c r="B36" s="117">
        <v>7</v>
      </c>
      <c r="C36" s="118" t="s">
        <v>72</v>
      </c>
      <c r="D36" s="119"/>
      <c r="E36" s="170"/>
      <c r="F36" s="121"/>
      <c r="G36" s="122"/>
      <c r="H36" s="123"/>
      <c r="I36" s="122"/>
      <c r="J36" s="122"/>
      <c r="K36" s="122"/>
      <c r="L36" s="124"/>
      <c r="M36" s="125"/>
      <c r="N36" s="352">
        <f t="shared" si="0"/>
        <v>0</v>
      </c>
    </row>
    <row r="37" spans="1:15">
      <c r="A37" s="116"/>
      <c r="B37" s="117">
        <v>8</v>
      </c>
      <c r="C37" s="174" t="s">
        <v>73</v>
      </c>
      <c r="D37" s="119"/>
      <c r="E37" s="176"/>
      <c r="F37" s="155"/>
      <c r="G37" s="156"/>
      <c r="H37" s="157"/>
      <c r="I37" s="156"/>
      <c r="J37" s="156"/>
      <c r="K37" s="156"/>
      <c r="L37" s="124"/>
      <c r="M37" s="146"/>
      <c r="N37" s="352">
        <f t="shared" si="0"/>
        <v>0</v>
      </c>
    </row>
    <row r="38" spans="1:15">
      <c r="A38" s="116"/>
      <c r="B38" s="117">
        <v>9</v>
      </c>
      <c r="C38" s="161" t="s">
        <v>74</v>
      </c>
      <c r="D38" s="162"/>
      <c r="E38" s="177"/>
      <c r="F38" s="178">
        <f>IF(O4="NE",('[1]2B'!$I$23)/1000000-'[1]VZOR 81'!$E$38,"")</f>
        <v>0</v>
      </c>
      <c r="G38" s="179">
        <f>IF(O4="NE",('[1]2B'!$J$23)/1000000,"")</f>
        <v>0</v>
      </c>
      <c r="H38" s="180"/>
      <c r="I38" s="179">
        <f>IF(O4="NE",('[1]2B'!$K$23)/1000000,"")</f>
        <v>0</v>
      </c>
      <c r="J38" s="179">
        <f>IF(O4="NE",('[1]2B'!$L$23)/1000000,"")</f>
        <v>0</v>
      </c>
      <c r="K38" s="179">
        <f>IF(O4="NE",('[1]2B'!$M$23)/1000000,"")</f>
        <v>0</v>
      </c>
      <c r="L38" s="163">
        <v>0</v>
      </c>
      <c r="M38" s="181">
        <v>0</v>
      </c>
      <c r="N38" s="366">
        <f>SUM($E$38:$M$38)-$H$38</f>
        <v>0</v>
      </c>
    </row>
    <row r="39" spans="1:15" ht="15.75" thickBot="1">
      <c r="A39" s="129">
        <v>8128</v>
      </c>
      <c r="B39" s="130" t="s">
        <v>51</v>
      </c>
      <c r="C39" s="131" t="s">
        <v>75</v>
      </c>
      <c r="D39" s="132"/>
      <c r="E39" s="133">
        <f t="shared" ref="E39:M39" si="4">SUM(E30:E38)</f>
        <v>0</v>
      </c>
      <c r="F39" s="182">
        <f t="shared" si="4"/>
        <v>0</v>
      </c>
      <c r="G39" s="183">
        <f t="shared" si="4"/>
        <v>0</v>
      </c>
      <c r="H39" s="184">
        <f t="shared" si="4"/>
        <v>0</v>
      </c>
      <c r="I39" s="183">
        <f t="shared" si="4"/>
        <v>0</v>
      </c>
      <c r="J39" s="183">
        <f t="shared" si="4"/>
        <v>0</v>
      </c>
      <c r="K39" s="183">
        <f t="shared" si="4"/>
        <v>0</v>
      </c>
      <c r="L39" s="185">
        <f t="shared" si="4"/>
        <v>0</v>
      </c>
      <c r="M39" s="186">
        <f t="shared" si="4"/>
        <v>0</v>
      </c>
      <c r="N39" s="354">
        <f t="shared" si="0"/>
        <v>0</v>
      </c>
    </row>
    <row r="40" spans="1:15" ht="16.5" thickTop="1" thickBot="1">
      <c r="A40" s="187">
        <v>8129</v>
      </c>
      <c r="B40" s="188"/>
      <c r="C40" s="189" t="s">
        <v>76</v>
      </c>
      <c r="D40" s="190"/>
      <c r="E40" s="191"/>
      <c r="F40" s="148">
        <f>IF(O4="NE",('[1]2B'!I42)/1000000-'[1]VZOR 81'!E40,"")</f>
        <v>0</v>
      </c>
      <c r="G40" s="149">
        <f>IF(O4="NE",('[1]2B'!J42)/1000000,"")</f>
        <v>0</v>
      </c>
      <c r="H40" s="150"/>
      <c r="I40" s="149">
        <f>IF(O4="NE",('[1]2B'!K42)/1000000,"")</f>
        <v>0</v>
      </c>
      <c r="J40" s="149">
        <f>IF(O4="NE",('[1]2B'!L42)/1000000,"")</f>
        <v>0</v>
      </c>
      <c r="K40" s="149">
        <v>9.0860000000000003</v>
      </c>
      <c r="L40" s="192">
        <v>9.2989999999999995</v>
      </c>
      <c r="M40" s="192">
        <v>0</v>
      </c>
      <c r="N40" s="367">
        <f t="shared" si="0"/>
        <v>18.384999999999998</v>
      </c>
      <c r="O40" s="368"/>
    </row>
    <row r="41" spans="1:15" ht="16.5" thickTop="1" thickBot="1">
      <c r="A41" s="193">
        <v>812</v>
      </c>
      <c r="B41" s="194" t="s">
        <v>51</v>
      </c>
      <c r="C41" s="195" t="s">
        <v>77</v>
      </c>
      <c r="D41" s="196"/>
      <c r="E41" s="197">
        <f>IF(O4="NE",E40+E39+E29+E24+E18+E17+E16,0)</f>
        <v>0</v>
      </c>
      <c r="F41" s="198">
        <f>IF(O4="NE",F40+F39+F29+F24+F18+F17+F16,0)</f>
        <v>0.5</v>
      </c>
      <c r="G41" s="199">
        <f>IF(O4="NE",G40+G39+G29+G24+G18+G17+G16,0)</f>
        <v>2.0004219999999999</v>
      </c>
      <c r="H41" s="200">
        <f>IF(O4="NE",H40+H39+H29+H24+H18+H17+H16,0)</f>
        <v>0</v>
      </c>
      <c r="I41" s="199">
        <f>IF(O4="NE",I40+I39+I29+I24+I18+I17+I16,0)</f>
        <v>8.7149999999999999</v>
      </c>
      <c r="J41" s="199">
        <f>IF(O4="NE",J40+J39+J29+J24+J18+J17+J16,0)</f>
        <v>8.4879999999999995</v>
      </c>
      <c r="K41" s="201">
        <f>IF(O4="NE",K40+K39+K29+K24+K18+K17+K16,0)</f>
        <v>101.71300000000001</v>
      </c>
      <c r="L41" s="202">
        <f>IF(O4="NE",L40+L39+L29+L24+L18+L17+L16,0)</f>
        <v>106.84140000000001</v>
      </c>
      <c r="M41" s="203">
        <f>IF(O4="NE",M40+M39+M29+M24+M18+M17+M16,0)</f>
        <v>0</v>
      </c>
      <c r="N41" s="371">
        <f>SUM(E41:M41)-H41</f>
        <v>228.25782200000003</v>
      </c>
    </row>
    <row r="42" spans="1:15" ht="15.75" thickBot="1">
      <c r="A42" s="129">
        <v>8130</v>
      </c>
      <c r="B42" s="130"/>
      <c r="C42" s="131" t="s">
        <v>78</v>
      </c>
      <c r="D42" s="132"/>
      <c r="E42" s="133"/>
      <c r="F42" s="134"/>
      <c r="G42" s="158"/>
      <c r="H42" s="159"/>
      <c r="I42" s="158"/>
      <c r="J42" s="158"/>
      <c r="K42" s="158"/>
      <c r="L42" s="133"/>
      <c r="M42" s="160"/>
      <c r="N42" s="138">
        <f t="shared" si="0"/>
        <v>0</v>
      </c>
    </row>
    <row r="43" spans="1:15" ht="15.75" thickBot="1">
      <c r="A43" s="129">
        <v>8131</v>
      </c>
      <c r="B43" s="130"/>
      <c r="C43" s="131" t="s">
        <v>79</v>
      </c>
      <c r="D43" s="132"/>
      <c r="E43" s="133"/>
      <c r="F43" s="134"/>
      <c r="G43" s="158"/>
      <c r="H43" s="159"/>
      <c r="I43" s="158"/>
      <c r="J43" s="158"/>
      <c r="K43" s="158"/>
      <c r="L43" s="133"/>
      <c r="M43" s="160"/>
      <c r="N43" s="138">
        <f t="shared" si="0"/>
        <v>0</v>
      </c>
    </row>
    <row r="44" spans="1:15" ht="15.75" thickBot="1">
      <c r="A44" s="129">
        <v>8132</v>
      </c>
      <c r="B44" s="130"/>
      <c r="C44" s="131" t="s">
        <v>80</v>
      </c>
      <c r="D44" s="132"/>
      <c r="E44" s="133"/>
      <c r="F44" s="134"/>
      <c r="G44" s="158"/>
      <c r="H44" s="159"/>
      <c r="I44" s="158"/>
      <c r="J44" s="158"/>
      <c r="K44" s="158"/>
      <c r="L44" s="133"/>
      <c r="M44" s="160"/>
      <c r="N44" s="138">
        <f t="shared" si="0"/>
        <v>0</v>
      </c>
    </row>
    <row r="45" spans="1:15">
      <c r="A45" s="204">
        <v>8133</v>
      </c>
      <c r="B45" s="205">
        <v>1</v>
      </c>
      <c r="C45" s="169" t="s">
        <v>81</v>
      </c>
      <c r="D45" s="206"/>
      <c r="E45" s="207"/>
      <c r="F45" s="121"/>
      <c r="G45" s="122"/>
      <c r="H45" s="123"/>
      <c r="I45" s="122"/>
      <c r="J45" s="122"/>
      <c r="K45" s="122"/>
      <c r="L45" s="124"/>
      <c r="M45" s="125"/>
      <c r="N45" s="208">
        <f t="shared" si="0"/>
        <v>0</v>
      </c>
    </row>
    <row r="46" spans="1:15">
      <c r="A46" s="209"/>
      <c r="B46" s="210">
        <v>2</v>
      </c>
      <c r="C46" s="118" t="s">
        <v>82</v>
      </c>
      <c r="D46" s="211"/>
      <c r="E46" s="124"/>
      <c r="F46" s="121"/>
      <c r="G46" s="122"/>
      <c r="H46" s="123"/>
      <c r="I46" s="122"/>
      <c r="J46" s="122"/>
      <c r="K46" s="122"/>
      <c r="L46" s="124"/>
      <c r="M46" s="125"/>
      <c r="N46" s="126">
        <f t="shared" si="0"/>
        <v>0</v>
      </c>
    </row>
    <row r="47" spans="1:15">
      <c r="A47" s="209"/>
      <c r="B47" s="210">
        <v>9</v>
      </c>
      <c r="C47" s="161" t="s">
        <v>83</v>
      </c>
      <c r="D47" s="212"/>
      <c r="E47" s="163"/>
      <c r="F47" s="178">
        <f>IF(O4="NE",('[1]2B'!I38)/1000000-'[1]VZOR 81'!E47,"")</f>
        <v>0</v>
      </c>
      <c r="G47" s="179">
        <f>IF(O4="NE",('[1]2B'!J38)/1000000,"")</f>
        <v>0</v>
      </c>
      <c r="H47" s="180"/>
      <c r="I47" s="179">
        <f>IF(O4="NE",('[1]2B'!K38)/1000000,"")</f>
        <v>0</v>
      </c>
      <c r="J47" s="179">
        <f>IF(O4="NE",('[1]2B'!L38)/1000000,"")</f>
        <v>0</v>
      </c>
      <c r="K47" s="179">
        <f>IF(O4="NE",('[1]2B'!M38)/1000000,"")</f>
        <v>0</v>
      </c>
      <c r="L47" s="213">
        <v>0</v>
      </c>
      <c r="M47" s="181">
        <f>IF(O4="NE",SUM('[1]2B'!$O$38:$S$38)/1000000,"")</f>
        <v>0</v>
      </c>
      <c r="N47" s="168">
        <f t="shared" si="0"/>
        <v>0</v>
      </c>
    </row>
    <row r="48" spans="1:15" ht="15.75" thickBot="1">
      <c r="A48" s="129">
        <v>8133</v>
      </c>
      <c r="B48" s="130" t="s">
        <v>51</v>
      </c>
      <c r="C48" s="131" t="s">
        <v>84</v>
      </c>
      <c r="D48" s="132"/>
      <c r="E48" s="133">
        <f t="shared" ref="E48:M48" si="5">SUM(E45:E47)</f>
        <v>0</v>
      </c>
      <c r="F48" s="134">
        <f t="shared" si="5"/>
        <v>0</v>
      </c>
      <c r="G48" s="158">
        <f t="shared" si="5"/>
        <v>0</v>
      </c>
      <c r="H48" s="159">
        <f t="shared" si="5"/>
        <v>0</v>
      </c>
      <c r="I48" s="158">
        <f t="shared" si="5"/>
        <v>0</v>
      </c>
      <c r="J48" s="158">
        <f t="shared" si="5"/>
        <v>0</v>
      </c>
      <c r="K48" s="158">
        <f t="shared" si="5"/>
        <v>0</v>
      </c>
      <c r="L48" s="133">
        <f t="shared" si="5"/>
        <v>0</v>
      </c>
      <c r="M48" s="160">
        <f t="shared" si="5"/>
        <v>0</v>
      </c>
      <c r="N48" s="138">
        <f t="shared" si="0"/>
        <v>0</v>
      </c>
    </row>
    <row r="49" spans="1:14" ht="15.75" thickBot="1">
      <c r="A49" s="214">
        <v>813</v>
      </c>
      <c r="B49" s="215" t="s">
        <v>51</v>
      </c>
      <c r="C49" s="216" t="s">
        <v>85</v>
      </c>
      <c r="D49" s="217"/>
      <c r="E49" s="218">
        <f t="shared" ref="E49:M49" si="6">E41+E42+E43+E44+E48</f>
        <v>0</v>
      </c>
      <c r="F49" s="219">
        <f t="shared" si="6"/>
        <v>0.5</v>
      </c>
      <c r="G49" s="219">
        <f t="shared" si="6"/>
        <v>2.0004219999999999</v>
      </c>
      <c r="H49" s="220">
        <f t="shared" si="6"/>
        <v>0</v>
      </c>
      <c r="I49" s="221">
        <f t="shared" si="6"/>
        <v>8.7149999999999999</v>
      </c>
      <c r="J49" s="219">
        <f t="shared" si="6"/>
        <v>8.4879999999999995</v>
      </c>
      <c r="K49" s="219">
        <f t="shared" si="6"/>
        <v>101.71300000000001</v>
      </c>
      <c r="L49" s="222">
        <f t="shared" si="6"/>
        <v>106.84140000000001</v>
      </c>
      <c r="M49" s="223">
        <f t="shared" si="6"/>
        <v>0</v>
      </c>
      <c r="N49" s="224">
        <f>SUM(E49:M49)</f>
        <v>228.25782200000003</v>
      </c>
    </row>
    <row r="50" spans="1:14" ht="16.5" thickBot="1">
      <c r="A50" s="225"/>
      <c r="B50" s="226"/>
      <c r="C50" s="227"/>
      <c r="D50" s="227"/>
      <c r="E50" s="228"/>
      <c r="F50" s="228"/>
      <c r="G50" s="228"/>
      <c r="H50" s="229"/>
      <c r="I50" s="228"/>
      <c r="J50" s="228"/>
      <c r="K50" s="228"/>
      <c r="L50" s="228"/>
      <c r="M50" s="228"/>
      <c r="N50" s="230"/>
    </row>
    <row r="51" spans="1:14">
      <c r="A51" s="231">
        <v>8141</v>
      </c>
      <c r="B51" s="232"/>
      <c r="C51" s="233" t="s">
        <v>86</v>
      </c>
      <c r="D51" s="234"/>
      <c r="E51" s="235"/>
      <c r="F51" s="236"/>
      <c r="G51" s="236"/>
      <c r="H51" s="237"/>
      <c r="I51" s="236"/>
      <c r="J51" s="236"/>
      <c r="K51" s="236"/>
      <c r="L51" s="238"/>
      <c r="M51" s="239"/>
      <c r="N51" s="240">
        <f t="shared" ref="N51:N94" si="7">SUM(E51:M51)-H51</f>
        <v>0</v>
      </c>
    </row>
    <row r="52" spans="1:14">
      <c r="A52" s="241">
        <v>8142</v>
      </c>
      <c r="B52" s="242"/>
      <c r="C52" s="243" t="s">
        <v>87</v>
      </c>
      <c r="D52" s="244"/>
      <c r="E52" s="245"/>
      <c r="F52" s="246"/>
      <c r="G52" s="246"/>
      <c r="H52" s="247"/>
      <c r="I52" s="246"/>
      <c r="J52" s="246"/>
      <c r="K52" s="246"/>
      <c r="L52" s="248"/>
      <c r="M52" s="249"/>
      <c r="N52" s="250">
        <f t="shared" si="7"/>
        <v>0</v>
      </c>
    </row>
    <row r="53" spans="1:14">
      <c r="A53" s="209">
        <v>8143</v>
      </c>
      <c r="B53" s="210">
        <v>1</v>
      </c>
      <c r="C53" s="251" t="s">
        <v>88</v>
      </c>
      <c r="D53" s="252"/>
      <c r="E53" s="253"/>
      <c r="F53" s="122"/>
      <c r="G53" s="122"/>
      <c r="H53" s="123"/>
      <c r="I53" s="122"/>
      <c r="J53" s="122"/>
      <c r="K53" s="122"/>
      <c r="L53" s="124"/>
      <c r="M53" s="249"/>
      <c r="N53" s="254">
        <f t="shared" si="7"/>
        <v>0</v>
      </c>
    </row>
    <row r="54" spans="1:14">
      <c r="A54" s="209"/>
      <c r="B54" s="210">
        <v>9</v>
      </c>
      <c r="C54" s="255" t="s">
        <v>89</v>
      </c>
      <c r="D54" s="256"/>
      <c r="E54" s="245"/>
      <c r="F54" s="165"/>
      <c r="G54" s="165"/>
      <c r="H54" s="166"/>
      <c r="I54" s="165"/>
      <c r="J54" s="165"/>
      <c r="K54" s="165"/>
      <c r="L54" s="163"/>
      <c r="M54" s="257"/>
      <c r="N54" s="250">
        <f t="shared" si="7"/>
        <v>0</v>
      </c>
    </row>
    <row r="55" spans="1:14">
      <c r="A55" s="258">
        <v>8143</v>
      </c>
      <c r="B55" s="259" t="s">
        <v>51</v>
      </c>
      <c r="C55" s="260" t="s">
        <v>90</v>
      </c>
      <c r="D55" s="261"/>
      <c r="E55" s="262">
        <f t="shared" ref="E55:M55" si="8">SUM(E53:E54)</f>
        <v>0</v>
      </c>
      <c r="F55" s="263">
        <f t="shared" si="8"/>
        <v>0</v>
      </c>
      <c r="G55" s="263">
        <f t="shared" si="8"/>
        <v>0</v>
      </c>
      <c r="H55" s="264">
        <f t="shared" si="8"/>
        <v>0</v>
      </c>
      <c r="I55" s="263">
        <f t="shared" si="8"/>
        <v>0</v>
      </c>
      <c r="J55" s="263">
        <f>SUM(J53:J54)</f>
        <v>0</v>
      </c>
      <c r="K55" s="263">
        <f t="shared" si="8"/>
        <v>0</v>
      </c>
      <c r="L55" s="262">
        <f t="shared" si="8"/>
        <v>0</v>
      </c>
      <c r="M55" s="265">
        <f t="shared" si="8"/>
        <v>0</v>
      </c>
      <c r="N55" s="250">
        <f t="shared" si="7"/>
        <v>0</v>
      </c>
    </row>
    <row r="56" spans="1:14">
      <c r="A56" s="209">
        <v>8144</v>
      </c>
      <c r="B56" s="210">
        <v>1</v>
      </c>
      <c r="C56" s="266" t="s">
        <v>91</v>
      </c>
      <c r="D56" s="267"/>
      <c r="E56" s="268"/>
      <c r="F56" s="269"/>
      <c r="G56" s="269"/>
      <c r="H56" s="270"/>
      <c r="I56" s="269"/>
      <c r="J56" s="269"/>
      <c r="K56" s="269"/>
      <c r="L56" s="271"/>
      <c r="M56" s="272"/>
      <c r="N56" s="254">
        <f t="shared" si="7"/>
        <v>0</v>
      </c>
    </row>
    <row r="57" spans="1:14">
      <c r="A57" s="209"/>
      <c r="B57" s="210">
        <v>2</v>
      </c>
      <c r="C57" s="266" t="s">
        <v>92</v>
      </c>
      <c r="D57" s="267"/>
      <c r="E57" s="268"/>
      <c r="F57" s="269"/>
      <c r="G57" s="269"/>
      <c r="H57" s="270"/>
      <c r="I57" s="269"/>
      <c r="J57" s="269"/>
      <c r="K57" s="269"/>
      <c r="L57" s="271"/>
      <c r="M57" s="272"/>
      <c r="N57" s="254">
        <f t="shared" si="7"/>
        <v>0</v>
      </c>
    </row>
    <row r="58" spans="1:14">
      <c r="A58" s="209"/>
      <c r="B58" s="210">
        <v>3</v>
      </c>
      <c r="C58" s="266" t="s">
        <v>93</v>
      </c>
      <c r="D58" s="267"/>
      <c r="E58" s="268"/>
      <c r="F58" s="269"/>
      <c r="G58" s="269"/>
      <c r="H58" s="270"/>
      <c r="I58" s="269"/>
      <c r="J58" s="269"/>
      <c r="K58" s="269"/>
      <c r="L58" s="271"/>
      <c r="M58" s="272"/>
      <c r="N58" s="254">
        <f t="shared" si="7"/>
        <v>0</v>
      </c>
    </row>
    <row r="59" spans="1:14">
      <c r="A59" s="273"/>
      <c r="B59" s="210">
        <v>4</v>
      </c>
      <c r="C59" s="266" t="s">
        <v>94</v>
      </c>
      <c r="D59" s="267"/>
      <c r="E59" s="268"/>
      <c r="F59" s="269"/>
      <c r="G59" s="269"/>
      <c r="H59" s="270"/>
      <c r="I59" s="269"/>
      <c r="J59" s="269"/>
      <c r="K59" s="269"/>
      <c r="L59" s="271"/>
      <c r="M59" s="272"/>
      <c r="N59" s="254">
        <f t="shared" si="7"/>
        <v>0</v>
      </c>
    </row>
    <row r="60" spans="1:14">
      <c r="A60" s="258">
        <v>8144</v>
      </c>
      <c r="B60" s="259" t="s">
        <v>51</v>
      </c>
      <c r="C60" s="260" t="s">
        <v>95</v>
      </c>
      <c r="D60" s="261"/>
      <c r="E60" s="274">
        <f t="shared" ref="E60:M60" si="9">SUM(E56:E59)</f>
        <v>0</v>
      </c>
      <c r="F60" s="275">
        <f t="shared" si="9"/>
        <v>0</v>
      </c>
      <c r="G60" s="275">
        <f t="shared" si="9"/>
        <v>0</v>
      </c>
      <c r="H60" s="264">
        <f t="shared" si="9"/>
        <v>0</v>
      </c>
      <c r="I60" s="275">
        <f t="shared" si="9"/>
        <v>0</v>
      </c>
      <c r="J60" s="275">
        <f t="shared" si="9"/>
        <v>0</v>
      </c>
      <c r="K60" s="275">
        <f t="shared" si="9"/>
        <v>0</v>
      </c>
      <c r="L60" s="276">
        <f t="shared" si="9"/>
        <v>0</v>
      </c>
      <c r="M60" s="277">
        <f t="shared" si="9"/>
        <v>0</v>
      </c>
      <c r="N60" s="278">
        <f t="shared" si="7"/>
        <v>0</v>
      </c>
    </row>
    <row r="61" spans="1:14">
      <c r="A61" s="209">
        <v>8145</v>
      </c>
      <c r="B61" s="210">
        <v>1</v>
      </c>
      <c r="C61" s="169" t="s">
        <v>96</v>
      </c>
      <c r="D61" s="267"/>
      <c r="E61" s="268"/>
      <c r="F61" s="269"/>
      <c r="G61" s="269"/>
      <c r="H61" s="270"/>
      <c r="I61" s="269"/>
      <c r="J61" s="269"/>
      <c r="K61" s="269"/>
      <c r="L61" s="271"/>
      <c r="M61" s="272"/>
      <c r="N61" s="254">
        <f t="shared" si="7"/>
        <v>0</v>
      </c>
    </row>
    <row r="62" spans="1:14">
      <c r="A62" s="209"/>
      <c r="B62" s="210">
        <v>2</v>
      </c>
      <c r="C62" s="266" t="s">
        <v>97</v>
      </c>
      <c r="D62" s="267"/>
      <c r="E62" s="268"/>
      <c r="F62" s="269"/>
      <c r="G62" s="269"/>
      <c r="H62" s="270"/>
      <c r="I62" s="269"/>
      <c r="J62" s="269"/>
      <c r="K62" s="269"/>
      <c r="L62" s="271"/>
      <c r="M62" s="272"/>
      <c r="N62" s="254">
        <f t="shared" si="7"/>
        <v>0</v>
      </c>
    </row>
    <row r="63" spans="1:14">
      <c r="A63" s="209"/>
      <c r="B63" s="210">
        <v>3</v>
      </c>
      <c r="C63" s="266" t="s">
        <v>98</v>
      </c>
      <c r="D63" s="267"/>
      <c r="E63" s="268"/>
      <c r="F63" s="269"/>
      <c r="G63" s="269"/>
      <c r="H63" s="270"/>
      <c r="I63" s="269"/>
      <c r="J63" s="269"/>
      <c r="K63" s="269"/>
      <c r="L63" s="271"/>
      <c r="M63" s="272"/>
      <c r="N63" s="254">
        <f t="shared" si="7"/>
        <v>0</v>
      </c>
    </row>
    <row r="64" spans="1:14">
      <c r="A64" s="273"/>
      <c r="B64" s="210">
        <v>4</v>
      </c>
      <c r="C64" s="266" t="s">
        <v>99</v>
      </c>
      <c r="D64" s="267"/>
      <c r="E64" s="268"/>
      <c r="F64" s="269"/>
      <c r="G64" s="269"/>
      <c r="H64" s="270"/>
      <c r="I64" s="269"/>
      <c r="J64" s="269"/>
      <c r="K64" s="269"/>
      <c r="L64" s="271"/>
      <c r="M64" s="272"/>
      <c r="N64" s="254">
        <f t="shared" si="7"/>
        <v>0</v>
      </c>
    </row>
    <row r="65" spans="1:17">
      <c r="A65" s="258">
        <v>8145</v>
      </c>
      <c r="B65" s="259" t="s">
        <v>51</v>
      </c>
      <c r="C65" s="260" t="s">
        <v>100</v>
      </c>
      <c r="D65" s="261"/>
      <c r="E65" s="274">
        <f t="shared" ref="E65:M65" si="10">SUM(E61:E64)</f>
        <v>0</v>
      </c>
      <c r="F65" s="275">
        <f t="shared" si="10"/>
        <v>0</v>
      </c>
      <c r="G65" s="275">
        <f t="shared" si="10"/>
        <v>0</v>
      </c>
      <c r="H65" s="264">
        <f t="shared" si="10"/>
        <v>0</v>
      </c>
      <c r="I65" s="275">
        <f t="shared" si="10"/>
        <v>0</v>
      </c>
      <c r="J65" s="275">
        <f t="shared" si="10"/>
        <v>0</v>
      </c>
      <c r="K65" s="275">
        <f t="shared" si="10"/>
        <v>0</v>
      </c>
      <c r="L65" s="276">
        <f t="shared" si="10"/>
        <v>0</v>
      </c>
      <c r="M65" s="277">
        <f t="shared" si="10"/>
        <v>0</v>
      </c>
      <c r="N65" s="278">
        <f t="shared" si="7"/>
        <v>0</v>
      </c>
    </row>
    <row r="66" spans="1:17">
      <c r="A66" s="209">
        <v>8146</v>
      </c>
      <c r="B66" s="210">
        <v>1</v>
      </c>
      <c r="C66" s="169" t="s">
        <v>101</v>
      </c>
      <c r="D66" s="267"/>
      <c r="E66" s="268"/>
      <c r="F66" s="269"/>
      <c r="G66" s="269"/>
      <c r="H66" s="270"/>
      <c r="I66" s="269"/>
      <c r="J66" s="269"/>
      <c r="K66" s="269"/>
      <c r="L66" s="271"/>
      <c r="M66" s="272"/>
      <c r="N66" s="254">
        <f t="shared" si="7"/>
        <v>0</v>
      </c>
    </row>
    <row r="67" spans="1:17">
      <c r="A67" s="209"/>
      <c r="B67" s="210">
        <v>2</v>
      </c>
      <c r="C67" s="266" t="s">
        <v>102</v>
      </c>
      <c r="D67" s="267"/>
      <c r="E67" s="268"/>
      <c r="F67" s="269"/>
      <c r="G67" s="269"/>
      <c r="H67" s="270"/>
      <c r="I67" s="269"/>
      <c r="J67" s="269"/>
      <c r="K67" s="269"/>
      <c r="L67" s="271"/>
      <c r="M67" s="272"/>
      <c r="N67" s="254">
        <f t="shared" si="7"/>
        <v>0</v>
      </c>
    </row>
    <row r="68" spans="1:17">
      <c r="A68" s="209"/>
      <c r="B68" s="210">
        <v>3</v>
      </c>
      <c r="C68" s="266" t="s">
        <v>103</v>
      </c>
      <c r="D68" s="267"/>
      <c r="E68" s="268"/>
      <c r="F68" s="269"/>
      <c r="G68" s="269"/>
      <c r="H68" s="270"/>
      <c r="I68" s="269"/>
      <c r="J68" s="269"/>
      <c r="K68" s="269"/>
      <c r="L68" s="271"/>
      <c r="M68" s="272"/>
      <c r="N68" s="254">
        <f t="shared" si="7"/>
        <v>0</v>
      </c>
    </row>
    <row r="69" spans="1:17">
      <c r="A69" s="273"/>
      <c r="B69" s="210">
        <v>4</v>
      </c>
      <c r="C69" s="266" t="s">
        <v>104</v>
      </c>
      <c r="D69" s="267"/>
      <c r="E69" s="268"/>
      <c r="F69" s="269"/>
      <c r="G69" s="269"/>
      <c r="H69" s="270"/>
      <c r="I69" s="269"/>
      <c r="J69" s="269"/>
      <c r="K69" s="269"/>
      <c r="L69" s="271"/>
      <c r="M69" s="272"/>
      <c r="N69" s="254">
        <f t="shared" si="7"/>
        <v>0</v>
      </c>
    </row>
    <row r="70" spans="1:17">
      <c r="A70" s="258">
        <v>8146</v>
      </c>
      <c r="B70" s="259" t="s">
        <v>51</v>
      </c>
      <c r="C70" s="279" t="s">
        <v>105</v>
      </c>
      <c r="D70" s="280"/>
      <c r="E70" s="274">
        <f t="shared" ref="E70:M70" si="11">SUM(E66:E69)</f>
        <v>0</v>
      </c>
      <c r="F70" s="275">
        <f t="shared" si="11"/>
        <v>0</v>
      </c>
      <c r="G70" s="275">
        <f t="shared" si="11"/>
        <v>0</v>
      </c>
      <c r="H70" s="264">
        <f t="shared" si="11"/>
        <v>0</v>
      </c>
      <c r="I70" s="275">
        <f t="shared" si="11"/>
        <v>0</v>
      </c>
      <c r="J70" s="275">
        <f t="shared" si="11"/>
        <v>0</v>
      </c>
      <c r="K70" s="275">
        <f t="shared" si="11"/>
        <v>0</v>
      </c>
      <c r="L70" s="276">
        <f t="shared" si="11"/>
        <v>0</v>
      </c>
      <c r="M70" s="281">
        <f t="shared" si="11"/>
        <v>0</v>
      </c>
      <c r="N70" s="278">
        <f t="shared" si="7"/>
        <v>0</v>
      </c>
    </row>
    <row r="71" spans="1:17">
      <c r="A71" s="209">
        <v>8147</v>
      </c>
      <c r="B71" s="210">
        <v>1</v>
      </c>
      <c r="C71" s="169" t="s">
        <v>106</v>
      </c>
      <c r="D71" s="282"/>
      <c r="E71" s="268"/>
      <c r="F71" s="269"/>
      <c r="G71" s="269"/>
      <c r="H71" s="270"/>
      <c r="I71" s="269"/>
      <c r="J71" s="269"/>
      <c r="K71" s="269"/>
      <c r="L71" s="271"/>
      <c r="M71" s="281"/>
      <c r="N71" s="254">
        <f t="shared" si="7"/>
        <v>0</v>
      </c>
    </row>
    <row r="72" spans="1:17">
      <c r="A72" s="273"/>
      <c r="B72" s="210">
        <v>2</v>
      </c>
      <c r="C72" s="118" t="s">
        <v>107</v>
      </c>
      <c r="D72" s="267"/>
      <c r="E72" s="268">
        <f>+E49</f>
        <v>0</v>
      </c>
      <c r="F72" s="269">
        <f t="shared" ref="F72:I72" si="12">+F49-F90</f>
        <v>0.5</v>
      </c>
      <c r="G72" s="269">
        <f t="shared" si="12"/>
        <v>2.0004219999999999</v>
      </c>
      <c r="H72" s="270">
        <f t="shared" si="12"/>
        <v>0</v>
      </c>
      <c r="I72" s="269">
        <f t="shared" si="12"/>
        <v>8.7149999999999999</v>
      </c>
      <c r="J72" s="269">
        <f>+J49-J90</f>
        <v>8.4879999999999995</v>
      </c>
      <c r="K72" s="269">
        <f>+K49-K90</f>
        <v>101.71300000000001</v>
      </c>
      <c r="L72" s="271">
        <f>+L49-L90</f>
        <v>106.84140000000001</v>
      </c>
      <c r="M72" s="283">
        <f>+M49-M90</f>
        <v>0</v>
      </c>
      <c r="N72" s="284">
        <f t="shared" si="7"/>
        <v>228.25782200000003</v>
      </c>
    </row>
    <row r="73" spans="1:17">
      <c r="A73" s="273"/>
      <c r="B73" s="210">
        <v>3</v>
      </c>
      <c r="C73" s="118" t="s">
        <v>108</v>
      </c>
      <c r="D73" s="267"/>
      <c r="E73" s="268"/>
      <c r="F73" s="269"/>
      <c r="G73" s="269"/>
      <c r="H73" s="270"/>
      <c r="I73" s="269"/>
      <c r="J73" s="269"/>
      <c r="K73" s="269"/>
      <c r="L73" s="271"/>
      <c r="M73" s="272"/>
      <c r="N73" s="254">
        <f t="shared" si="7"/>
        <v>0</v>
      </c>
    </row>
    <row r="74" spans="1:17">
      <c r="A74" s="273"/>
      <c r="B74" s="210">
        <v>9</v>
      </c>
      <c r="C74" s="161" t="s">
        <v>109</v>
      </c>
      <c r="D74" s="285"/>
      <c r="E74" s="262"/>
      <c r="F74" s="286"/>
      <c r="G74" s="286"/>
      <c r="H74" s="287"/>
      <c r="I74" s="286"/>
      <c r="J74" s="286"/>
      <c r="K74" s="286"/>
      <c r="L74" s="288"/>
      <c r="M74" s="265"/>
      <c r="N74" s="250">
        <f t="shared" si="7"/>
        <v>0</v>
      </c>
    </row>
    <row r="75" spans="1:17">
      <c r="A75" s="258">
        <v>8147</v>
      </c>
      <c r="B75" s="259" t="s">
        <v>51</v>
      </c>
      <c r="C75" s="279" t="s">
        <v>110</v>
      </c>
      <c r="D75" s="280"/>
      <c r="E75" s="274">
        <f t="shared" ref="E75:M75" si="13">SUM(E71:E74)</f>
        <v>0</v>
      </c>
      <c r="F75" s="275">
        <f t="shared" si="13"/>
        <v>0.5</v>
      </c>
      <c r="G75" s="275">
        <f t="shared" si="13"/>
        <v>2.0004219999999999</v>
      </c>
      <c r="H75" s="264">
        <f t="shared" si="13"/>
        <v>0</v>
      </c>
      <c r="I75" s="275">
        <f t="shared" si="13"/>
        <v>8.7149999999999999</v>
      </c>
      <c r="J75" s="275">
        <f t="shared" si="13"/>
        <v>8.4879999999999995</v>
      </c>
      <c r="K75" s="275">
        <f t="shared" si="13"/>
        <v>101.71300000000001</v>
      </c>
      <c r="L75" s="276">
        <f t="shared" si="13"/>
        <v>106.84140000000001</v>
      </c>
      <c r="M75" s="281">
        <f t="shared" si="13"/>
        <v>0</v>
      </c>
      <c r="N75" s="278">
        <f t="shared" si="7"/>
        <v>228.25782200000003</v>
      </c>
    </row>
    <row r="76" spans="1:17">
      <c r="A76" s="209">
        <v>8148</v>
      </c>
      <c r="B76" s="210">
        <v>1</v>
      </c>
      <c r="C76" s="169" t="s">
        <v>111</v>
      </c>
      <c r="D76" s="282"/>
      <c r="E76" s="268"/>
      <c r="F76" s="269"/>
      <c r="G76" s="269"/>
      <c r="H76" s="270"/>
      <c r="I76" s="269"/>
      <c r="J76" s="269"/>
      <c r="K76" s="269"/>
      <c r="L76" s="271"/>
      <c r="M76" s="281"/>
      <c r="N76" s="254">
        <f t="shared" si="7"/>
        <v>0</v>
      </c>
    </row>
    <row r="77" spans="1:17">
      <c r="A77" s="209"/>
      <c r="B77" s="210">
        <v>2</v>
      </c>
      <c r="C77" s="118" t="s">
        <v>112</v>
      </c>
      <c r="D77" s="267"/>
      <c r="E77" s="268"/>
      <c r="F77" s="269"/>
      <c r="G77" s="269"/>
      <c r="H77" s="270"/>
      <c r="I77" s="269"/>
      <c r="J77" s="269"/>
      <c r="K77" s="269"/>
      <c r="L77" s="271"/>
      <c r="M77" s="272"/>
      <c r="N77" s="254">
        <f t="shared" si="7"/>
        <v>0</v>
      </c>
    </row>
    <row r="78" spans="1:17">
      <c r="A78" s="209"/>
      <c r="B78" s="210">
        <v>3</v>
      </c>
      <c r="C78" s="118" t="s">
        <v>113</v>
      </c>
      <c r="D78" s="267"/>
      <c r="E78" s="268"/>
      <c r="F78" s="269"/>
      <c r="G78" s="269"/>
      <c r="H78" s="270"/>
      <c r="I78" s="269"/>
      <c r="J78" s="269"/>
      <c r="K78" s="269"/>
      <c r="L78" s="271"/>
      <c r="M78" s="272"/>
      <c r="N78" s="254">
        <f t="shared" si="7"/>
        <v>0</v>
      </c>
      <c r="O78" s="289" t="s">
        <v>114</v>
      </c>
      <c r="P78" s="515" t="s">
        <v>115</v>
      </c>
      <c r="Q78" s="515"/>
    </row>
    <row r="79" spans="1:17">
      <c r="A79" s="258">
        <v>8148</v>
      </c>
      <c r="B79" s="259" t="s">
        <v>51</v>
      </c>
      <c r="C79" s="279" t="s">
        <v>116</v>
      </c>
      <c r="D79" s="280"/>
      <c r="E79" s="274">
        <f t="shared" ref="E79:M79" si="14">SUM(E76:E78)</f>
        <v>0</v>
      </c>
      <c r="F79" s="275">
        <f t="shared" si="14"/>
        <v>0</v>
      </c>
      <c r="G79" s="275">
        <f t="shared" si="14"/>
        <v>0</v>
      </c>
      <c r="H79" s="264">
        <f t="shared" si="14"/>
        <v>0</v>
      </c>
      <c r="I79" s="275">
        <f t="shared" si="14"/>
        <v>0</v>
      </c>
      <c r="J79" s="275">
        <f t="shared" si="14"/>
        <v>0</v>
      </c>
      <c r="K79" s="275">
        <f t="shared" si="14"/>
        <v>0</v>
      </c>
      <c r="L79" s="276">
        <f t="shared" si="14"/>
        <v>0</v>
      </c>
      <c r="M79" s="281">
        <f t="shared" si="14"/>
        <v>0</v>
      </c>
      <c r="N79" s="278">
        <f t="shared" si="7"/>
        <v>0</v>
      </c>
    </row>
    <row r="80" spans="1:17">
      <c r="A80" s="204">
        <v>8149</v>
      </c>
      <c r="B80" s="205">
        <v>1</v>
      </c>
      <c r="C80" s="169" t="s">
        <v>117</v>
      </c>
      <c r="D80" s="206"/>
      <c r="E80" s="253"/>
      <c r="F80" s="122"/>
      <c r="G80" s="122"/>
      <c r="H80" s="123"/>
      <c r="I80" s="122"/>
      <c r="J80" s="122"/>
      <c r="K80" s="122"/>
      <c r="L80" s="124"/>
      <c r="M80" s="249"/>
      <c r="N80" s="254">
        <f t="shared" si="7"/>
        <v>0</v>
      </c>
    </row>
    <row r="81" spans="1:18" ht="12.95" customHeight="1" thickBot="1">
      <c r="A81" s="209"/>
      <c r="B81" s="210">
        <v>2</v>
      </c>
      <c r="C81" s="118" t="s">
        <v>118</v>
      </c>
      <c r="D81" s="211"/>
      <c r="E81" s="253"/>
      <c r="F81" s="122"/>
      <c r="G81" s="122"/>
      <c r="H81" s="123"/>
      <c r="I81" s="122"/>
      <c r="J81" s="122"/>
      <c r="K81" s="122"/>
      <c r="L81" s="124"/>
      <c r="M81" s="290"/>
      <c r="N81" s="254">
        <f t="shared" si="7"/>
        <v>0</v>
      </c>
    </row>
    <row r="82" spans="1:18" ht="12.95" customHeight="1">
      <c r="A82" s="209"/>
      <c r="B82" s="210">
        <v>9</v>
      </c>
      <c r="C82" s="161" t="s">
        <v>119</v>
      </c>
      <c r="D82" s="212"/>
      <c r="E82" s="245"/>
      <c r="F82" s="165"/>
      <c r="G82" s="165"/>
      <c r="H82" s="166"/>
      <c r="I82" s="165"/>
      <c r="J82" s="165"/>
      <c r="K82" s="165"/>
      <c r="L82" s="163"/>
      <c r="M82" s="257"/>
      <c r="N82" s="250">
        <f t="shared" si="7"/>
        <v>0</v>
      </c>
      <c r="O82" s="516" t="s">
        <v>120</v>
      </c>
      <c r="P82" s="519" t="s">
        <v>121</v>
      </c>
      <c r="Q82" s="519"/>
      <c r="R82" s="519"/>
    </row>
    <row r="83" spans="1:18" ht="15" customHeight="1" thickBot="1">
      <c r="A83" s="258">
        <v>8149</v>
      </c>
      <c r="B83" s="259" t="s">
        <v>51</v>
      </c>
      <c r="C83" s="279" t="s">
        <v>122</v>
      </c>
      <c r="D83" s="280"/>
      <c r="E83" s="274">
        <f t="shared" ref="E83:M83" si="15">SUM(E80:E82)</f>
        <v>0</v>
      </c>
      <c r="F83" s="275">
        <f t="shared" si="15"/>
        <v>0</v>
      </c>
      <c r="G83" s="275">
        <f t="shared" si="15"/>
        <v>0</v>
      </c>
      <c r="H83" s="264">
        <f t="shared" si="15"/>
        <v>0</v>
      </c>
      <c r="I83" s="275">
        <f t="shared" si="15"/>
        <v>0</v>
      </c>
      <c r="J83" s="275">
        <f t="shared" si="15"/>
        <v>0</v>
      </c>
      <c r="K83" s="275">
        <f t="shared" si="15"/>
        <v>0</v>
      </c>
      <c r="L83" s="276">
        <f t="shared" si="15"/>
        <v>0</v>
      </c>
      <c r="M83" s="291">
        <f t="shared" si="15"/>
        <v>0</v>
      </c>
      <c r="N83" s="278">
        <f t="shared" si="7"/>
        <v>0</v>
      </c>
      <c r="O83" s="517"/>
      <c r="P83" s="520"/>
      <c r="Q83" s="520"/>
      <c r="R83" s="520"/>
    </row>
    <row r="84" spans="1:18" ht="12.95" customHeight="1">
      <c r="A84" s="209">
        <v>8151</v>
      </c>
      <c r="B84" s="210">
        <v>1</v>
      </c>
      <c r="C84" s="169" t="s">
        <v>123</v>
      </c>
      <c r="D84" s="282"/>
      <c r="E84" s="292"/>
      <c r="F84" s="293"/>
      <c r="G84" s="294">
        <f>IF(O4="NE",(IF($P$84=1,('[1]Komentář FR'!$M$88/1000000)*0.85-'[1]VZOR 81'!$F84,"0"))*$O$86,"")</f>
        <v>0</v>
      </c>
      <c r="H84" s="294"/>
      <c r="I84" s="294">
        <f>IF(O4="NE",(IF($P$84=1,'[1]Komentář FR'!$O$88/1000000,"0"))*$O$86*0.85,"")</f>
        <v>0</v>
      </c>
      <c r="J84" s="294">
        <f>IF(O4="NE",(IF($P$84=1,'[1]Komentář FR'!$Q$88/1000000,"0"))*$O$86*0.85,"")</f>
        <v>0</v>
      </c>
      <c r="K84" s="294">
        <f>IF(O4="NE",(IF($P$84=1,'[1]Komentář FR'!$S$88/1000000,"0"))*$O$86*0.85,"")</f>
        <v>0</v>
      </c>
      <c r="L84" s="295">
        <f>IF(O4="NE",(IF($P$84=1,'[1]Komentář FR'!$U$88/1000000,"0"))*$O$86*0.85,"")</f>
        <v>0</v>
      </c>
      <c r="M84" s="296">
        <f>IF(O4="NE",(IF(P84=1,('[1]Komentář FR'!$W$88+'[1]Komentář FR'!$Y$88+'[1]Komentář FR'!$AA$88+'[1]Komentář FR'!$AC$88+'[1]Komentář FR'!$AE$88)/1000000,"0"))*$O$86*0.85,"")</f>
        <v>0</v>
      </c>
      <c r="N84" s="254">
        <f t="shared" si="7"/>
        <v>0</v>
      </c>
      <c r="O84" s="517"/>
      <c r="P84" s="521"/>
      <c r="Q84" s="297">
        <v>1</v>
      </c>
      <c r="R84" s="298" t="s">
        <v>123</v>
      </c>
    </row>
    <row r="85" spans="1:18" ht="12.95" customHeight="1" thickBot="1">
      <c r="A85" s="273"/>
      <c r="B85" s="210">
        <v>2</v>
      </c>
      <c r="C85" s="118" t="s">
        <v>124</v>
      </c>
      <c r="D85" s="267"/>
      <c r="E85" s="292"/>
      <c r="F85" s="299"/>
      <c r="G85" s="269">
        <f>IF(O4="NE",(IF($P$84=2,('[1]Komentář FR'!$M$88/1000000)*0.85-'[1]VZOR 81'!$F85,"0"))*$O$86,"")</f>
        <v>0</v>
      </c>
      <c r="H85" s="269"/>
      <c r="I85" s="269">
        <f>IF(O4="NE",(IF($P$84=2,'[1]Komentář FR'!$O$88/1000000,"0"))*$O$86*0.85,"")</f>
        <v>0</v>
      </c>
      <c r="J85" s="269">
        <f>IF(O4="NE",(IF($P$84=2,'[1]Komentář FR'!$Q$88/1000000,"0"))*$O$86*0.85,"")</f>
        <v>0</v>
      </c>
      <c r="K85" s="269">
        <f>IF(O4="NE",(IF($P$84=2,'[1]Komentář FR'!$S$88/1000000,"0"))*$O$86*0.85,"")</f>
        <v>0</v>
      </c>
      <c r="L85" s="271">
        <f>IF(O4="NE",(IF($P$84=2,'[1]Komentář FR'!$U$88/1000000,"0"))*$O$86*0.85,"")</f>
        <v>0</v>
      </c>
      <c r="M85" s="269">
        <f>IF(O4="NE",(IF($P$84=2,('[1]Komentář FR'!$W$88+'[1]Komentář FR'!$Y$88+'[1]Komentář FR'!$AA$88+'[1]Komentář FR'!$AC$88+'[1]Komentář FR'!$AE$88)/1000000,"0"))*$O$86*0.85,"")</f>
        <v>0</v>
      </c>
      <c r="N85" s="254">
        <f t="shared" si="7"/>
        <v>0</v>
      </c>
      <c r="O85" s="518"/>
      <c r="P85" s="522"/>
      <c r="Q85" s="300">
        <v>2</v>
      </c>
      <c r="R85" s="301" t="s">
        <v>124</v>
      </c>
    </row>
    <row r="86" spans="1:18" ht="12.95" customHeight="1">
      <c r="A86" s="273"/>
      <c r="B86" s="210">
        <v>3</v>
      </c>
      <c r="C86" s="118" t="s">
        <v>125</v>
      </c>
      <c r="D86" s="267"/>
      <c r="E86" s="292"/>
      <c r="F86" s="299"/>
      <c r="G86" s="269">
        <f>IF(O4="NE",(IF($P$84=3,('[1]Komentář FR'!$M$88/1000000)*0.85-'[1]VZOR 81'!$F86,"0"))*$O$86,"")</f>
        <v>0</v>
      </c>
      <c r="H86" s="269"/>
      <c r="I86" s="269">
        <f>IF(O4="NE",(IF($P$84=3,'[1]Komentář FR'!$O$88/1000000,"0"))*$O$86*0.85,"")</f>
        <v>0</v>
      </c>
      <c r="J86" s="269">
        <f>IF(O4="NE",(IF($P$84=3,'[1]Komentář FR'!$Q$88/1000000,"0"))*$O$86*0.85,"")</f>
        <v>0</v>
      </c>
      <c r="K86" s="269">
        <f>IF(O4="NE",(IF($P$84=3,'[1]Komentář FR'!$S$88/1000000,"0"))*$O$86*0.85,"")</f>
        <v>0</v>
      </c>
      <c r="L86" s="271">
        <f>IF(O4="NE",(IF($P$84=3,'[1]Komentář FR'!$U$88/1000000,"0"))*$O$86*0.85,"")</f>
        <v>0</v>
      </c>
      <c r="M86" s="269">
        <f>IF(O4="NE",(IF($P$84=3,('[1]Komentář FR'!$W$88+'[1]Komentář FR'!$Y$88+'[1]Komentář FR'!$AA$88+'[1]Komentář FR'!$AC$88+'[1]Komentář FR'!$AE$88)/1000000,"0"))*$O$86*0.85,"")</f>
        <v>0</v>
      </c>
      <c r="N86" s="254">
        <f t="shared" si="7"/>
        <v>0</v>
      </c>
      <c r="O86" s="524">
        <v>1</v>
      </c>
      <c r="P86" s="522"/>
      <c r="Q86" s="300">
        <v>3</v>
      </c>
      <c r="R86" s="301" t="s">
        <v>125</v>
      </c>
    </row>
    <row r="87" spans="1:18" ht="12.95" customHeight="1">
      <c r="A87" s="273"/>
      <c r="B87" s="210">
        <v>4</v>
      </c>
      <c r="C87" s="118" t="s">
        <v>126</v>
      </c>
      <c r="D87" s="267"/>
      <c r="E87" s="292"/>
      <c r="F87" s="299"/>
      <c r="G87" s="269">
        <f>IF(O4="NE",(IF($P$84=4,('[1]Komentář FR'!$M$88/1000000)*0.85-'[1]VZOR 81'!$F87,"0"))*$O$86,"")</f>
        <v>0</v>
      </c>
      <c r="H87" s="269"/>
      <c r="I87" s="269">
        <f>IF(O4="NE",(IF($P$84=4,'[1]Komentář FR'!$O$88/1000000,"0"))*$O$86*0.85,"")</f>
        <v>0</v>
      </c>
      <c r="J87" s="269">
        <f>IF(O4="NE",(IF($P$84=4,'[1]Komentář FR'!$Q$88/1000000,"0"))*$O$86*0.85,"")</f>
        <v>0</v>
      </c>
      <c r="K87" s="269">
        <f>IF(O4="NE",(IF($P$84=4,'[1]Komentář FR'!$S$88/1000000,"0"))*$O$86*0.85,"")</f>
        <v>0</v>
      </c>
      <c r="L87" s="271">
        <f>IF(O4="NE",(IF($P$84=4,'[1]Komentář FR'!$U$88/1000000,"0"))*$O$86*0.85,"")</f>
        <v>0</v>
      </c>
      <c r="M87" s="269">
        <f>IF(O4="NE",(IF($P$84=4,('[1]Komentář FR'!$W$86+'[1]Komentář FR'!$Y$88+'[1]Komentář FR'!$AA$88+'[1]Komentář FR'!$AC$88+'[1]Komentář FR'!$AE$88)/1000000,"0"))*$O$86*0.85,"")</f>
        <v>0</v>
      </c>
      <c r="N87" s="254">
        <f t="shared" si="7"/>
        <v>0</v>
      </c>
      <c r="O87" s="525"/>
      <c r="P87" s="522"/>
      <c r="Q87" s="300">
        <v>4</v>
      </c>
      <c r="R87" s="301" t="s">
        <v>126</v>
      </c>
    </row>
    <row r="88" spans="1:18" ht="12.95" customHeight="1">
      <c r="A88" s="273"/>
      <c r="B88" s="210">
        <v>5</v>
      </c>
      <c r="C88" s="118" t="s">
        <v>127</v>
      </c>
      <c r="D88" s="267"/>
      <c r="E88" s="292"/>
      <c r="F88" s="299"/>
      <c r="G88" s="269">
        <f>IF(O4="NE",(IF($P$84=5,('[1]Komentář FR'!$M$88/1000000)*0.85-'[1]VZOR 81'!$F88,"0"))*$O$86,"")</f>
        <v>0</v>
      </c>
      <c r="H88" s="269"/>
      <c r="I88" s="269">
        <f>IF(O4="NE",(IF($P$84=5,'[1]Komentář FR'!$O$88/1000000,"0"))*$O$86*0.85,"")</f>
        <v>0</v>
      </c>
      <c r="J88" s="269">
        <f>IF(O4="NE",(IF($P$84=5,'[1]Komentář FR'!$Q$88/1000000,"0"))*$O$86*0.85,"")</f>
        <v>0</v>
      </c>
      <c r="K88" s="269">
        <f>IF(O4="NE",(IF($P$84=5,'[1]Komentář FR'!$S$88/1000000,"0"))*$O$86*0.85,"")</f>
        <v>0</v>
      </c>
      <c r="L88" s="271">
        <f>IF(O4="NE",(IF($P$84=5,'[1]Komentář FR'!$U$88/1000000,"0"))*$O$86*0.85,"")</f>
        <v>0</v>
      </c>
      <c r="M88" s="269">
        <f>IF(O4="NE",(IF($P$84=5,('[1]Komentář FR'!$W$88+'[1]Komentář FR'!$Y$88+'[1]Komentář FR'!$AA$88+'[1]Komentář FR'!$AC$88+'[1]Komentář FR'!$AE$88)/1000000,"0"))*$O$86*0.85,"")</f>
        <v>0</v>
      </c>
      <c r="N88" s="254">
        <f t="shared" si="7"/>
        <v>0</v>
      </c>
      <c r="O88" s="525"/>
      <c r="P88" s="522"/>
      <c r="Q88" s="300">
        <v>5</v>
      </c>
      <c r="R88" s="301" t="s">
        <v>127</v>
      </c>
    </row>
    <row r="89" spans="1:18" ht="12.95" customHeight="1" thickBot="1">
      <c r="A89" s="273"/>
      <c r="B89" s="210">
        <v>9</v>
      </c>
      <c r="C89" s="161" t="s">
        <v>128</v>
      </c>
      <c r="D89" s="302"/>
      <c r="E89" s="268"/>
      <c r="F89" s="303"/>
      <c r="G89" s="269">
        <f>IF(O4="NE",(IF($P$84=9,('[1]Komentář FR'!$M$88/1000000)*0.85-'[1]VZOR 81'!$F89,"0"))*$O$86,"")</f>
        <v>0</v>
      </c>
      <c r="H89" s="269"/>
      <c r="I89" s="269">
        <f>IF(O4="NE",(IF($P$84=9,'[1]Komentář FR'!$O$88/1000000,"0"))*$O$86*0.85,"")</f>
        <v>0</v>
      </c>
      <c r="J89" s="269">
        <f>IF(O4="NE",(IF($P$84=9,'[1]Komentář FR'!$Q$88/1000000,"0"))*$O$86*0.85,"")</f>
        <v>0</v>
      </c>
      <c r="K89" s="269">
        <f>IF(O4="NE",(IF($P$84=9,'[1]Komentář FR'!$S$88/1000000,"0"))*$O$86*0.85,"")</f>
        <v>0</v>
      </c>
      <c r="L89" s="271">
        <f>IF(O4="NE",(IF($P$84=9,'[1]Komentář FR'!$U$88/1000000,"0"))*$O$86*0.85,"")</f>
        <v>0</v>
      </c>
      <c r="M89" s="269">
        <f>IF(O4="NE",(IF($P$84=9,('[1]Komentář FR'!$W$88+'[1]Komentář FR'!$Y$88+'[1]Komentář FR'!$AA$88+'[1]Komentář FR'!$AC$88+'[1]Komentář FR'!$AE$88)/1000000,"0"))*$O$86*0.85,"")</f>
        <v>0</v>
      </c>
      <c r="N89" s="250">
        <f t="shared" si="7"/>
        <v>0</v>
      </c>
      <c r="O89" s="526"/>
      <c r="P89" s="523"/>
      <c r="Q89" s="304">
        <v>9</v>
      </c>
      <c r="R89" s="305" t="s">
        <v>128</v>
      </c>
    </row>
    <row r="90" spans="1:18" ht="15" customHeight="1">
      <c r="A90" s="258">
        <v>8151</v>
      </c>
      <c r="B90" s="259" t="s">
        <v>51</v>
      </c>
      <c r="C90" s="279" t="s">
        <v>129</v>
      </c>
      <c r="D90" s="280"/>
      <c r="E90" s="274">
        <f t="shared" ref="E90:M90" si="16">SUM(E84:E89)</f>
        <v>0</v>
      </c>
      <c r="F90" s="275">
        <f t="shared" si="16"/>
        <v>0</v>
      </c>
      <c r="G90" s="275">
        <f t="shared" si="16"/>
        <v>0</v>
      </c>
      <c r="H90" s="264">
        <f t="shared" si="16"/>
        <v>0</v>
      </c>
      <c r="I90" s="275">
        <f t="shared" si="16"/>
        <v>0</v>
      </c>
      <c r="J90" s="275">
        <f t="shared" si="16"/>
        <v>0</v>
      </c>
      <c r="K90" s="275">
        <f t="shared" si="16"/>
        <v>0</v>
      </c>
      <c r="L90" s="276">
        <f t="shared" si="16"/>
        <v>0</v>
      </c>
      <c r="M90" s="281">
        <f t="shared" si="16"/>
        <v>0</v>
      </c>
      <c r="N90" s="278">
        <f t="shared" si="7"/>
        <v>0</v>
      </c>
    </row>
    <row r="91" spans="1:18" ht="12.95" customHeight="1">
      <c r="A91" s="209">
        <v>8152</v>
      </c>
      <c r="B91" s="210">
        <v>1</v>
      </c>
      <c r="C91" s="169" t="s">
        <v>130</v>
      </c>
      <c r="D91" s="282"/>
      <c r="E91" s="268"/>
      <c r="F91" s="269"/>
      <c r="G91" s="269"/>
      <c r="H91" s="270"/>
      <c r="I91" s="269"/>
      <c r="J91" s="269"/>
      <c r="K91" s="269"/>
      <c r="L91" s="271"/>
      <c r="M91" s="281"/>
      <c r="N91" s="254">
        <f t="shared" si="7"/>
        <v>0</v>
      </c>
    </row>
    <row r="92" spans="1:18" ht="12.95" customHeight="1">
      <c r="A92" s="273"/>
      <c r="B92" s="210">
        <v>9</v>
      </c>
      <c r="C92" s="127" t="s">
        <v>131</v>
      </c>
      <c r="D92" s="302"/>
      <c r="E92" s="306"/>
      <c r="F92" s="307"/>
      <c r="G92" s="307"/>
      <c r="H92" s="308"/>
      <c r="I92" s="307"/>
      <c r="J92" s="307"/>
      <c r="K92" s="307"/>
      <c r="L92" s="309"/>
      <c r="M92" s="310"/>
      <c r="N92" s="311">
        <f t="shared" si="7"/>
        <v>0</v>
      </c>
    </row>
    <row r="93" spans="1:18" ht="15" customHeight="1">
      <c r="A93" s="258">
        <v>8152</v>
      </c>
      <c r="B93" s="259" t="s">
        <v>51</v>
      </c>
      <c r="C93" s="243" t="s">
        <v>132</v>
      </c>
      <c r="D93" s="261"/>
      <c r="E93" s="274">
        <f t="shared" ref="E93:M93" si="17">SUM(E91:E92)</f>
        <v>0</v>
      </c>
      <c r="F93" s="275">
        <f t="shared" si="17"/>
        <v>0</v>
      </c>
      <c r="G93" s="275">
        <f t="shared" si="17"/>
        <v>0</v>
      </c>
      <c r="H93" s="264">
        <f t="shared" si="17"/>
        <v>0</v>
      </c>
      <c r="I93" s="275">
        <f t="shared" si="17"/>
        <v>0</v>
      </c>
      <c r="J93" s="275">
        <f t="shared" si="17"/>
        <v>0</v>
      </c>
      <c r="K93" s="275">
        <f t="shared" si="17"/>
        <v>0</v>
      </c>
      <c r="L93" s="276">
        <f t="shared" si="17"/>
        <v>0</v>
      </c>
      <c r="M93" s="277">
        <f t="shared" si="17"/>
        <v>0</v>
      </c>
      <c r="N93" s="278">
        <f t="shared" si="7"/>
        <v>0</v>
      </c>
    </row>
    <row r="94" spans="1:18" ht="15" customHeight="1" thickBot="1">
      <c r="A94" s="258">
        <v>8159</v>
      </c>
      <c r="B94" s="259"/>
      <c r="C94" s="279" t="s">
        <v>133</v>
      </c>
      <c r="D94" s="280"/>
      <c r="E94" s="274"/>
      <c r="F94" s="275"/>
      <c r="G94" s="275"/>
      <c r="H94" s="264"/>
      <c r="I94" s="275"/>
      <c r="J94" s="275"/>
      <c r="K94" s="275"/>
      <c r="L94" s="276"/>
      <c r="M94" s="281"/>
      <c r="N94" s="278">
        <f t="shared" si="7"/>
        <v>0</v>
      </c>
    </row>
    <row r="95" spans="1:18" ht="18" customHeight="1" thickBot="1">
      <c r="A95" s="214">
        <v>819</v>
      </c>
      <c r="B95" s="215" t="s">
        <v>51</v>
      </c>
      <c r="C95" s="216" t="s">
        <v>134</v>
      </c>
      <c r="D95" s="217"/>
      <c r="E95" s="218">
        <f t="shared" ref="E95:M95" si="18">E94+E93+E90+E83+E79+E75+E70+E65+E60+E55+E52+E51</f>
        <v>0</v>
      </c>
      <c r="F95" s="312">
        <f t="shared" si="18"/>
        <v>0.5</v>
      </c>
      <c r="G95" s="219">
        <f t="shared" si="18"/>
        <v>2.0004219999999999</v>
      </c>
      <c r="H95" s="220">
        <f t="shared" si="18"/>
        <v>0</v>
      </c>
      <c r="I95" s="219">
        <f t="shared" si="18"/>
        <v>8.7149999999999999</v>
      </c>
      <c r="J95" s="219">
        <f t="shared" si="18"/>
        <v>8.4879999999999995</v>
      </c>
      <c r="K95" s="219">
        <f t="shared" si="18"/>
        <v>101.71300000000001</v>
      </c>
      <c r="L95" s="218">
        <f t="shared" si="18"/>
        <v>106.84140000000001</v>
      </c>
      <c r="M95" s="313">
        <f t="shared" si="18"/>
        <v>0</v>
      </c>
      <c r="N95" s="224">
        <f>SUM(E95:M95)</f>
        <v>228.25782200000003</v>
      </c>
    </row>
    <row r="96" spans="1:18" ht="25.5" customHeight="1">
      <c r="E96" s="315" t="str">
        <f>IF(ROUND(E95,3)-ROUND(E49,3)=0," ","Chyba bilance")</f>
        <v xml:space="preserve"> </v>
      </c>
      <c r="F96" s="315" t="str">
        <f t="shared" ref="F96" si="19">IF(ROUND(F95,3)-ROUND(F49,3)=0," ","Chyba bilance")</f>
        <v xml:space="preserve"> </v>
      </c>
      <c r="G96" s="315"/>
      <c r="H96" s="315"/>
      <c r="I96" s="315"/>
      <c r="J96" s="315"/>
      <c r="K96" s="315"/>
      <c r="L96" s="315"/>
      <c r="M96" s="315"/>
      <c r="N96" s="315"/>
    </row>
    <row r="97" spans="1:13">
      <c r="A97" s="514"/>
      <c r="B97" s="514"/>
      <c r="C97" s="514"/>
      <c r="D97" s="514"/>
      <c r="G97" s="289"/>
      <c r="H97" s="289"/>
      <c r="I97" s="289"/>
      <c r="J97" s="289"/>
      <c r="K97" s="289"/>
      <c r="L97" s="289"/>
      <c r="M97" s="289"/>
    </row>
    <row r="98" spans="1:13">
      <c r="G98" s="289"/>
      <c r="H98" s="289"/>
      <c r="I98" s="289"/>
      <c r="J98" s="289"/>
      <c r="K98" s="289"/>
      <c r="L98" s="289"/>
      <c r="M98" s="289"/>
    </row>
  </sheetData>
  <mergeCells count="19">
    <mergeCell ref="A97:D97"/>
    <mergeCell ref="A6:B6"/>
    <mergeCell ref="C6:L6"/>
    <mergeCell ref="C7:D7"/>
    <mergeCell ref="P78:Q78"/>
    <mergeCell ref="O82:O85"/>
    <mergeCell ref="P82:R83"/>
    <mergeCell ref="P84:P89"/>
    <mergeCell ref="O86:O89"/>
    <mergeCell ref="A1:N1"/>
    <mergeCell ref="A2:J3"/>
    <mergeCell ref="K2:L3"/>
    <mergeCell ref="M2:N2"/>
    <mergeCell ref="O2:O3"/>
    <mergeCell ref="A4:B4"/>
    <mergeCell ref="C4:L4"/>
    <mergeCell ref="O4:O6"/>
    <mergeCell ref="A5:B5"/>
    <mergeCell ref="C5:L5"/>
  </mergeCells>
  <conditionalFormatting sqref="E84:F84">
    <cfRule type="expression" dxfId="27" priority="15">
      <formula>$P$84=1</formula>
    </cfRule>
  </conditionalFormatting>
  <conditionalFormatting sqref="M85">
    <cfRule type="cellIs" dxfId="26" priority="14" operator="equal">
      <formula>0</formula>
    </cfRule>
  </conditionalFormatting>
  <conditionalFormatting sqref="M86:M89">
    <cfRule type="cellIs" dxfId="25" priority="13" operator="equal">
      <formula>0</formula>
    </cfRule>
  </conditionalFormatting>
  <conditionalFormatting sqref="E85:F85">
    <cfRule type="expression" dxfId="24" priority="12">
      <formula>$P$84=2</formula>
    </cfRule>
  </conditionalFormatting>
  <conditionalFormatting sqref="E86:F86">
    <cfRule type="expression" dxfId="23" priority="11">
      <formula>$P$84=3</formula>
    </cfRule>
  </conditionalFormatting>
  <conditionalFormatting sqref="E87:F87">
    <cfRule type="expression" dxfId="22" priority="10">
      <formula>$P$84=4</formula>
    </cfRule>
  </conditionalFormatting>
  <conditionalFormatting sqref="E88:F88">
    <cfRule type="expression" dxfId="21" priority="9">
      <formula>$P$84=5</formula>
    </cfRule>
  </conditionalFormatting>
  <conditionalFormatting sqref="E89:F89">
    <cfRule type="expression" dxfId="20" priority="8">
      <formula>$P$84=9</formula>
    </cfRule>
  </conditionalFormatting>
  <conditionalFormatting sqref="G84">
    <cfRule type="expression" dxfId="19" priority="7">
      <formula>G84=0</formula>
    </cfRule>
  </conditionalFormatting>
  <conditionalFormatting sqref="G85:G88">
    <cfRule type="expression" dxfId="18" priority="6">
      <formula>G85=0</formula>
    </cfRule>
  </conditionalFormatting>
  <conditionalFormatting sqref="H84:L84">
    <cfRule type="expression" dxfId="17" priority="5">
      <formula>H84=0</formula>
    </cfRule>
  </conditionalFormatting>
  <conditionalFormatting sqref="H85:L88">
    <cfRule type="expression" dxfId="16" priority="4">
      <formula>H85=0</formula>
    </cfRule>
  </conditionalFormatting>
  <conditionalFormatting sqref="G89">
    <cfRule type="expression" dxfId="15" priority="3">
      <formula>G89=0</formula>
    </cfRule>
  </conditionalFormatting>
  <conditionalFormatting sqref="H89:L89">
    <cfRule type="expression" dxfId="14" priority="2">
      <formula>H89=0</formula>
    </cfRule>
  </conditionalFormatting>
  <conditionalFormatting sqref="M84">
    <cfRule type="cellIs" dxfId="13" priority="1" operator="equal">
      <formula>0</formula>
    </cfRule>
  </conditionalFormatting>
  <dataValidations count="3">
    <dataValidation type="list" allowBlank="1" showInputMessage="1" showErrorMessage="1" sqref="P84">
      <formula1>"1,2,3,4,5,9"</formula1>
    </dataValidation>
    <dataValidation type="whole" operator="equal" allowBlank="1" showInputMessage="1" showErrorMessage="1" errorTitle="Chyby bilance" error="Nesoulad mezi zdroji a potřebami_x000a_" sqref="E98">
      <formula1>0</formula1>
    </dataValidation>
    <dataValidation type="textLength" operator="lessThan" allowBlank="1" showInputMessage="1" showErrorMessage="1" errorTitle="Příliš dlouhý text !" error="Maximální délka textu je 100 znaků včetně mezer." sqref="A5">
      <formula1>151</formula1>
    </dataValidation>
  </dataValidations>
  <pageMargins left="0.70866141732283472" right="0.70866141732283472" top="0.39" bottom="0.78740157480314965" header="0.31496062992125984" footer="0.31496062992125984"/>
  <pageSetup paperSize="9" scale="55" fitToHeight="99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07"/>
  <sheetViews>
    <sheetView tabSelected="1" workbookViewId="0">
      <selection activeCell="C12" sqref="C12"/>
    </sheetView>
  </sheetViews>
  <sheetFormatPr defaultColWidth="9.140625" defaultRowHeight="12.75"/>
  <cols>
    <col min="1" max="1" width="13" style="63" customWidth="1"/>
    <col min="2" max="2" width="13" style="63" hidden="1" customWidth="1"/>
    <col min="3" max="3" width="79.5703125" style="63" customWidth="1"/>
    <col min="4" max="4" width="28.5703125" style="63" customWidth="1"/>
    <col min="5" max="5" width="9.140625" style="63" customWidth="1"/>
    <col min="6" max="6" width="9.140625" style="7" customWidth="1"/>
    <col min="7" max="7" width="13.28515625" style="7" hidden="1" customWidth="1"/>
    <col min="8" max="8" width="54.85546875" style="7" hidden="1" customWidth="1"/>
    <col min="9" max="9" width="22.140625" style="7" hidden="1" customWidth="1"/>
    <col min="10" max="10" width="18.5703125" style="7" hidden="1" customWidth="1"/>
    <col min="11" max="11" width="14.28515625" style="63" customWidth="1"/>
    <col min="12" max="16384" width="9.140625" style="63"/>
  </cols>
  <sheetData>
    <row r="1" spans="1:9" s="317" customFormat="1" ht="21">
      <c r="A1" s="527" t="s">
        <v>135</v>
      </c>
      <c r="B1" s="528"/>
      <c r="C1" s="529"/>
      <c r="D1" s="316" t="s">
        <v>136</v>
      </c>
      <c r="F1" s="318"/>
      <c r="G1" s="319"/>
    </row>
    <row r="2" spans="1:9" s="317" customFormat="1" ht="16.5" thickBot="1">
      <c r="A2" s="530"/>
      <c r="B2" s="531"/>
      <c r="C2" s="532"/>
      <c r="D2" s="533"/>
      <c r="E2" s="103"/>
      <c r="F2" s="320"/>
      <c r="G2" s="103"/>
    </row>
    <row r="3" spans="1:9" s="317" customFormat="1" ht="15.75">
      <c r="A3" s="321" t="s">
        <v>2</v>
      </c>
      <c r="B3" s="322"/>
      <c r="C3" s="323" t="str">
        <f>'80'!C4:L4</f>
        <v>Modernizace železničního uzlu Ostrava</v>
      </c>
      <c r="D3" s="69"/>
      <c r="E3" s="7"/>
      <c r="F3" s="7"/>
      <c r="G3" s="103"/>
    </row>
    <row r="4" spans="1:9" s="317" customFormat="1" ht="15.75">
      <c r="A4" s="19" t="s">
        <v>3</v>
      </c>
      <c r="B4" s="324"/>
      <c r="C4" s="540">
        <f>'80'!C5:L5</f>
        <v>5813520009</v>
      </c>
      <c r="D4" s="325"/>
      <c r="E4" s="7"/>
      <c r="F4" s="7"/>
      <c r="G4" s="103"/>
    </row>
    <row r="5" spans="1:9" s="317" customFormat="1" ht="16.5" thickBot="1">
      <c r="A5" s="326" t="s">
        <v>4</v>
      </c>
      <c r="B5" s="327"/>
      <c r="C5" s="328" t="str">
        <f>'80'!C6:L6</f>
        <v>Správa železnic, státní organizace</v>
      </c>
      <c r="D5" s="325"/>
      <c r="E5" s="7"/>
      <c r="F5" s="7"/>
      <c r="G5" s="329" t="s">
        <v>137</v>
      </c>
    </row>
    <row r="6" spans="1:9" s="317" customFormat="1" ht="16.5" thickBot="1">
      <c r="A6" s="16"/>
      <c r="B6" s="330"/>
      <c r="C6" s="331"/>
      <c r="D6" s="325"/>
      <c r="E6" s="7"/>
      <c r="F6" s="7"/>
      <c r="G6" s="534" t="s">
        <v>138</v>
      </c>
      <c r="H6" s="536" t="s">
        <v>139</v>
      </c>
      <c r="I6" s="538" t="s">
        <v>140</v>
      </c>
    </row>
    <row r="7" spans="1:9" s="7" customFormat="1" ht="32.25" thickBot="1">
      <c r="A7" s="332" t="s">
        <v>141</v>
      </c>
      <c r="B7" s="333"/>
      <c r="C7" s="334" t="s">
        <v>142</v>
      </c>
      <c r="D7" s="335" t="s">
        <v>143</v>
      </c>
      <c r="G7" s="535"/>
      <c r="H7" s="537"/>
      <c r="I7" s="539"/>
    </row>
    <row r="8" spans="1:9" ht="13.5" thickTop="1">
      <c r="A8" s="336">
        <v>1</v>
      </c>
      <c r="B8" s="337"/>
      <c r="C8" s="338" t="s">
        <v>202</v>
      </c>
      <c r="D8" s="385">
        <v>3826.1130238508549</v>
      </c>
      <c r="E8" s="339"/>
      <c r="F8" s="340"/>
      <c r="G8" s="341" t="s">
        <v>144</v>
      </c>
      <c r="H8" s="342" t="s">
        <v>145</v>
      </c>
      <c r="I8" s="343">
        <f>[1]PN!F16/1000000</f>
        <v>1823.3163672966723</v>
      </c>
    </row>
    <row r="9" spans="1:9">
      <c r="A9" s="336">
        <v>2</v>
      </c>
      <c r="B9" s="337"/>
      <c r="C9" s="338" t="s">
        <v>203</v>
      </c>
      <c r="D9" s="385">
        <v>252.69445847770425</v>
      </c>
      <c r="F9" s="340"/>
      <c r="G9" s="341" t="s">
        <v>146</v>
      </c>
      <c r="H9" s="344" t="s">
        <v>147</v>
      </c>
      <c r="I9" s="343">
        <f>[1]PN!F17/1000000</f>
        <v>1197.6934677508173</v>
      </c>
    </row>
    <row r="10" spans="1:9">
      <c r="A10" s="336">
        <v>3</v>
      </c>
      <c r="B10" s="337"/>
      <c r="C10" s="338" t="s">
        <v>195</v>
      </c>
      <c r="D10" s="385">
        <v>2597.8630326193661</v>
      </c>
      <c r="F10" s="340"/>
      <c r="G10" s="341" t="s">
        <v>148</v>
      </c>
      <c r="H10" s="344" t="s">
        <v>149</v>
      </c>
      <c r="I10" s="343">
        <f>[1]PN!F18/1000000</f>
        <v>75.106567719105115</v>
      </c>
    </row>
    <row r="11" spans="1:9">
      <c r="A11" s="336">
        <v>4</v>
      </c>
      <c r="B11" s="337"/>
      <c r="C11" s="338" t="s">
        <v>145</v>
      </c>
      <c r="D11" s="385">
        <v>3756.0588401800337</v>
      </c>
      <c r="E11" s="345"/>
      <c r="F11" s="346"/>
      <c r="G11" s="341" t="s">
        <v>150</v>
      </c>
      <c r="H11" s="344" t="s">
        <v>151</v>
      </c>
      <c r="I11" s="343">
        <f>[1]PN!F19/1000000</f>
        <v>3.5194329072820287</v>
      </c>
    </row>
    <row r="12" spans="1:9">
      <c r="A12" s="336">
        <v>5</v>
      </c>
      <c r="B12" s="337"/>
      <c r="C12" s="338" t="s">
        <v>147</v>
      </c>
      <c r="D12" s="385">
        <v>1455.3772087154334</v>
      </c>
      <c r="E12" s="345"/>
      <c r="F12" s="346"/>
      <c r="G12" s="341" t="s">
        <v>152</v>
      </c>
      <c r="H12" s="344" t="s">
        <v>153</v>
      </c>
      <c r="I12" s="343">
        <f>[1]PN!F20/1000000</f>
        <v>1207.3599695638022</v>
      </c>
    </row>
    <row r="13" spans="1:9">
      <c r="A13" s="336">
        <v>6</v>
      </c>
      <c r="B13" s="337"/>
      <c r="C13" s="338" t="s">
        <v>153</v>
      </c>
      <c r="D13" s="385">
        <v>1819.5367143344288</v>
      </c>
      <c r="E13" s="345"/>
      <c r="F13" s="346"/>
      <c r="G13" s="341" t="s">
        <v>154</v>
      </c>
      <c r="H13" s="344" t="s">
        <v>155</v>
      </c>
      <c r="I13" s="343">
        <f>[1]PN!F21/1000000</f>
        <v>0</v>
      </c>
    </row>
    <row r="14" spans="1:9">
      <c r="A14" s="336">
        <v>7</v>
      </c>
      <c r="B14" s="337"/>
      <c r="C14" s="338" t="s">
        <v>204</v>
      </c>
      <c r="D14" s="385">
        <v>0</v>
      </c>
      <c r="E14" s="345"/>
      <c r="F14" s="346"/>
      <c r="G14" s="341" t="s">
        <v>156</v>
      </c>
      <c r="H14" s="344" t="s">
        <v>157</v>
      </c>
      <c r="I14" s="343">
        <f>[1]PN!F22/1000000</f>
        <v>100.76674052815511</v>
      </c>
    </row>
    <row r="15" spans="1:9">
      <c r="A15" s="336">
        <v>8</v>
      </c>
      <c r="B15" s="337"/>
      <c r="C15" s="338" t="s">
        <v>196</v>
      </c>
      <c r="D15" s="385">
        <v>219.32179905388992</v>
      </c>
      <c r="E15" s="345"/>
      <c r="F15" s="346"/>
      <c r="G15" s="341" t="s">
        <v>158</v>
      </c>
      <c r="H15" s="344" t="s">
        <v>159</v>
      </c>
      <c r="I15" s="343">
        <f>[1]PN!F23/1000000</f>
        <v>0</v>
      </c>
    </row>
    <row r="16" spans="1:9">
      <c r="A16" s="336">
        <v>9</v>
      </c>
      <c r="B16" s="337"/>
      <c r="C16" s="338" t="s">
        <v>205</v>
      </c>
      <c r="D16" s="385">
        <v>1344.1335297924288</v>
      </c>
      <c r="E16" s="345"/>
      <c r="F16" s="346"/>
      <c r="G16" s="341" t="s">
        <v>160</v>
      </c>
      <c r="H16" s="344" t="s">
        <v>161</v>
      </c>
      <c r="I16" s="343">
        <f>[1]PN!F24/1000000</f>
        <v>786.06846506315389</v>
      </c>
    </row>
    <row r="17" spans="1:10">
      <c r="A17" s="336">
        <v>10</v>
      </c>
      <c r="B17" s="337"/>
      <c r="C17" s="338" t="s">
        <v>197</v>
      </c>
      <c r="D17" s="385">
        <v>126.88935811397542</v>
      </c>
      <c r="E17" s="347"/>
      <c r="F17" s="346"/>
      <c r="G17" s="341" t="s">
        <v>162</v>
      </c>
      <c r="H17" s="344" t="s">
        <v>163</v>
      </c>
      <c r="I17" s="343">
        <f>[1]PN!F25/1000000</f>
        <v>452.86067363195451</v>
      </c>
    </row>
    <row r="18" spans="1:10">
      <c r="A18" s="336">
        <v>11</v>
      </c>
      <c r="B18" s="337"/>
      <c r="C18" s="338" t="s">
        <v>198</v>
      </c>
      <c r="D18" s="385">
        <v>1659.88837974184</v>
      </c>
      <c r="E18" s="345"/>
      <c r="F18" s="346"/>
      <c r="G18" s="341" t="s">
        <v>164</v>
      </c>
      <c r="H18" s="344" t="s">
        <v>165</v>
      </c>
      <c r="I18" s="343">
        <f>[1]PN!F26/1000000</f>
        <v>70.890719714887709</v>
      </c>
    </row>
    <row r="19" spans="1:10">
      <c r="A19" s="336">
        <v>12</v>
      </c>
      <c r="B19" s="337"/>
      <c r="C19" s="338" t="s">
        <v>206</v>
      </c>
      <c r="D19" s="385">
        <v>22.155586422264083</v>
      </c>
      <c r="E19" s="345"/>
      <c r="F19" s="346"/>
      <c r="G19" s="341" t="s">
        <v>166</v>
      </c>
      <c r="H19" s="344" t="s">
        <v>167</v>
      </c>
      <c r="I19" s="343">
        <f>[1]PN!F27/1000000</f>
        <v>253.61416089729244</v>
      </c>
    </row>
    <row r="20" spans="1:10" ht="13.5" thickBot="1">
      <c r="A20" s="386">
        <v>12</v>
      </c>
      <c r="B20" s="387"/>
      <c r="C20" s="388" t="s">
        <v>206</v>
      </c>
      <c r="D20" s="385">
        <v>22.155586422264083</v>
      </c>
      <c r="E20" s="345"/>
      <c r="F20" s="346"/>
      <c r="G20" s="341" t="s">
        <v>168</v>
      </c>
      <c r="H20" s="344" t="s">
        <v>169</v>
      </c>
      <c r="I20" s="343">
        <f>[1]PN!F28/1000000</f>
        <v>573.13725521672882</v>
      </c>
    </row>
    <row r="21" spans="1:10" s="392" customFormat="1" hidden="1">
      <c r="A21" s="386"/>
      <c r="B21" s="387"/>
      <c r="C21" s="388"/>
      <c r="D21" s="385"/>
      <c r="F21" s="394"/>
      <c r="G21" s="389" t="s">
        <v>170</v>
      </c>
      <c r="H21" s="391" t="s">
        <v>171</v>
      </c>
      <c r="I21" s="390">
        <f>[1]PN!F29/1000000</f>
        <v>0</v>
      </c>
      <c r="J21" s="394"/>
    </row>
    <row r="22" spans="1:10" s="392" customFormat="1" hidden="1">
      <c r="A22" s="386"/>
      <c r="B22" s="387"/>
      <c r="C22" s="388"/>
      <c r="D22" s="385"/>
      <c r="F22" s="394"/>
      <c r="G22" s="389" t="s">
        <v>172</v>
      </c>
      <c r="H22" s="391" t="s">
        <v>173</v>
      </c>
      <c r="I22" s="390">
        <f>[1]PN!F30/1000000</f>
        <v>0</v>
      </c>
      <c r="J22" s="394"/>
    </row>
    <row r="23" spans="1:10" s="392" customFormat="1" hidden="1">
      <c r="A23" s="386"/>
      <c r="B23" s="387"/>
      <c r="C23" s="388"/>
      <c r="D23" s="385"/>
      <c r="E23" s="393"/>
      <c r="F23" s="394"/>
      <c r="G23" s="389" t="s">
        <v>174</v>
      </c>
      <c r="H23" s="391" t="s">
        <v>175</v>
      </c>
      <c r="I23" s="390">
        <f>[1]PN!F31/1000000</f>
        <v>91.742831620087074</v>
      </c>
      <c r="J23" s="394"/>
    </row>
    <row r="24" spans="1:10" s="392" customFormat="1" hidden="1">
      <c r="A24" s="386"/>
      <c r="B24" s="387"/>
      <c r="C24" s="388"/>
      <c r="D24" s="385"/>
      <c r="F24" s="394"/>
      <c r="G24" s="389" t="s">
        <v>176</v>
      </c>
      <c r="H24" s="391" t="s">
        <v>177</v>
      </c>
      <c r="I24" s="390">
        <f>[1]PN!F32/1000000</f>
        <v>0</v>
      </c>
      <c r="J24" s="394"/>
    </row>
    <row r="25" spans="1:10" s="392" customFormat="1" hidden="1">
      <c r="A25" s="386"/>
      <c r="B25" s="387"/>
      <c r="C25" s="388"/>
      <c r="D25" s="385"/>
      <c r="F25" s="394"/>
      <c r="G25" s="389" t="s">
        <v>178</v>
      </c>
      <c r="H25" s="391" t="s">
        <v>179</v>
      </c>
      <c r="I25" s="390">
        <f>[1]PN!F33/1000000</f>
        <v>523.8278790871334</v>
      </c>
      <c r="J25" s="394"/>
    </row>
    <row r="26" spans="1:10" s="392" customFormat="1" hidden="1">
      <c r="A26" s="386"/>
      <c r="B26" s="387"/>
      <c r="C26" s="388"/>
      <c r="D26" s="385"/>
      <c r="F26" s="394"/>
      <c r="G26" s="389" t="s">
        <v>180</v>
      </c>
      <c r="H26" s="391" t="s">
        <v>181</v>
      </c>
      <c r="I26" s="390">
        <f>[1]PN!F34/1000000</f>
        <v>34.514740817213095</v>
      </c>
      <c r="J26" s="394"/>
    </row>
    <row r="27" spans="1:10" s="392" customFormat="1" hidden="1">
      <c r="A27" s="386"/>
      <c r="B27" s="387"/>
      <c r="C27" s="388"/>
      <c r="D27" s="385"/>
      <c r="F27" s="394"/>
      <c r="G27" s="389" t="s">
        <v>182</v>
      </c>
      <c r="H27" s="391" t="s">
        <v>183</v>
      </c>
      <c r="I27" s="390">
        <f>[1]PN!F35/1000000</f>
        <v>11.575533332346666</v>
      </c>
      <c r="J27" s="394"/>
    </row>
    <row r="28" spans="1:10" s="392" customFormat="1" hidden="1">
      <c r="A28" s="386"/>
      <c r="B28" s="387"/>
      <c r="C28" s="388"/>
      <c r="D28" s="385"/>
      <c r="F28" s="394"/>
      <c r="G28" s="389" t="s">
        <v>184</v>
      </c>
      <c r="H28" s="391" t="s">
        <v>185</v>
      </c>
      <c r="I28" s="390">
        <f>[1]PN!F36/1000000</f>
        <v>136.54514086269927</v>
      </c>
      <c r="J28" s="394"/>
    </row>
    <row r="29" spans="1:10" s="392" customFormat="1" hidden="1">
      <c r="A29" s="386"/>
      <c r="B29" s="387"/>
      <c r="C29" s="388"/>
      <c r="D29" s="385"/>
      <c r="F29" s="394"/>
      <c r="G29" s="389" t="s">
        <v>186</v>
      </c>
      <c r="H29" s="391" t="s">
        <v>187</v>
      </c>
      <c r="I29" s="390">
        <f>[1]PN!F37/1000000</f>
        <v>942.89799882915679</v>
      </c>
      <c r="J29" s="394"/>
    </row>
    <row r="30" spans="1:10" s="392" customFormat="1" hidden="1">
      <c r="A30" s="386"/>
      <c r="B30" s="387"/>
      <c r="C30" s="388"/>
      <c r="D30" s="385"/>
      <c r="F30" s="394"/>
      <c r="G30" s="389" t="s">
        <v>188</v>
      </c>
      <c r="H30" s="391" t="s">
        <v>189</v>
      </c>
      <c r="I30" s="390">
        <f>[1]PN!F38/1000000</f>
        <v>141.4857043793223</v>
      </c>
      <c r="J30" s="394"/>
    </row>
    <row r="31" spans="1:10" s="392" customFormat="1" hidden="1">
      <c r="A31" s="386"/>
      <c r="B31" s="387"/>
      <c r="C31" s="388"/>
      <c r="D31" s="385"/>
      <c r="F31" s="394"/>
      <c r="G31" s="389" t="s">
        <v>190</v>
      </c>
      <c r="H31" s="391" t="s">
        <v>191</v>
      </c>
      <c r="I31" s="390">
        <f>[1]PN!F39/1000000</f>
        <v>132.37902043493079</v>
      </c>
      <c r="J31" s="394"/>
    </row>
    <row r="32" spans="1:10" s="392" customFormat="1" ht="13.5" hidden="1" thickBot="1">
      <c r="A32" s="386"/>
      <c r="B32" s="387"/>
      <c r="C32" s="388"/>
      <c r="D32" s="385"/>
      <c r="F32" s="394"/>
      <c r="G32" s="395" t="s">
        <v>192</v>
      </c>
      <c r="H32" s="396" t="s">
        <v>193</v>
      </c>
      <c r="I32" s="397">
        <f>[1]PN!F40/1000000</f>
        <v>0</v>
      </c>
      <c r="J32" s="394"/>
    </row>
    <row r="33" spans="1:10" s="392" customFormat="1" hidden="1">
      <c r="A33" s="386"/>
      <c r="B33" s="387"/>
      <c r="C33" s="388"/>
      <c r="D33" s="385"/>
      <c r="F33" s="394"/>
      <c r="G33" s="394"/>
      <c r="H33" s="394"/>
      <c r="I33" s="394"/>
      <c r="J33" s="394"/>
    </row>
    <row r="34" spans="1:10" s="392" customFormat="1" hidden="1">
      <c r="A34" s="386"/>
      <c r="B34" s="387"/>
      <c r="C34" s="388"/>
      <c r="D34" s="385"/>
      <c r="F34" s="394"/>
      <c r="G34" s="394"/>
      <c r="H34" s="394"/>
      <c r="I34" s="394"/>
      <c r="J34" s="394"/>
    </row>
    <row r="35" spans="1:10" s="392" customFormat="1" hidden="1">
      <c r="A35" s="386"/>
      <c r="B35" s="387"/>
      <c r="C35" s="388"/>
      <c r="D35" s="385"/>
      <c r="F35" s="394"/>
      <c r="G35" s="394"/>
      <c r="H35" s="394"/>
      <c r="I35" s="394"/>
      <c r="J35" s="394"/>
    </row>
    <row r="36" spans="1:10" s="392" customFormat="1" hidden="1">
      <c r="A36" s="386"/>
      <c r="B36" s="387"/>
      <c r="C36" s="388"/>
      <c r="D36" s="385"/>
      <c r="F36" s="394"/>
      <c r="G36" s="394"/>
      <c r="H36" s="394"/>
      <c r="I36" s="394"/>
      <c r="J36" s="394"/>
    </row>
    <row r="37" spans="1:10" s="392" customFormat="1" hidden="1">
      <c r="A37" s="386"/>
      <c r="B37" s="387"/>
      <c r="C37" s="388"/>
      <c r="D37" s="385"/>
      <c r="F37" s="394"/>
      <c r="G37" s="394"/>
      <c r="H37" s="394"/>
      <c r="I37" s="394"/>
      <c r="J37" s="394"/>
    </row>
    <row r="38" spans="1:10" s="392" customFormat="1" hidden="1">
      <c r="A38" s="386"/>
      <c r="B38" s="387"/>
      <c r="C38" s="388"/>
      <c r="D38" s="385"/>
      <c r="F38" s="394"/>
      <c r="G38" s="394"/>
      <c r="H38" s="394"/>
      <c r="I38" s="394"/>
      <c r="J38" s="394"/>
    </row>
    <row r="39" spans="1:10" s="392" customFormat="1" hidden="1">
      <c r="A39" s="386"/>
      <c r="B39" s="387"/>
      <c r="C39" s="388"/>
      <c r="D39" s="385"/>
      <c r="F39" s="394"/>
      <c r="G39" s="394"/>
      <c r="H39" s="394"/>
      <c r="I39" s="394"/>
      <c r="J39" s="394"/>
    </row>
    <row r="40" spans="1:10" s="392" customFormat="1" hidden="1">
      <c r="A40" s="386"/>
      <c r="B40" s="387"/>
      <c r="C40" s="388"/>
      <c r="D40" s="385"/>
      <c r="F40" s="394"/>
      <c r="G40" s="394"/>
      <c r="H40" s="394"/>
      <c r="I40" s="394"/>
      <c r="J40" s="394"/>
    </row>
    <row r="41" spans="1:10" s="392" customFormat="1" hidden="1">
      <c r="A41" s="386"/>
      <c r="B41" s="387"/>
      <c r="C41" s="388"/>
      <c r="D41" s="385"/>
      <c r="F41" s="394"/>
      <c r="G41" s="394"/>
      <c r="H41" s="394"/>
      <c r="I41" s="394"/>
      <c r="J41" s="394"/>
    </row>
    <row r="42" spans="1:10" s="392" customFormat="1" hidden="1">
      <c r="A42" s="386"/>
      <c r="B42" s="387"/>
      <c r="C42" s="388"/>
      <c r="D42" s="385"/>
      <c r="F42" s="394"/>
      <c r="G42" s="394"/>
      <c r="H42" s="394"/>
      <c r="I42" s="394"/>
      <c r="J42" s="394"/>
    </row>
    <row r="43" spans="1:10" s="392" customFormat="1" hidden="1">
      <c r="A43" s="386"/>
      <c r="B43" s="387"/>
      <c r="C43" s="388"/>
      <c r="D43" s="385"/>
      <c r="F43" s="394"/>
      <c r="G43" s="394"/>
      <c r="H43" s="394"/>
      <c r="I43" s="394"/>
      <c r="J43" s="394"/>
    </row>
    <row r="44" spans="1:10" s="392" customFormat="1" hidden="1">
      <c r="A44" s="386"/>
      <c r="B44" s="387"/>
      <c r="C44" s="388"/>
      <c r="D44" s="385"/>
      <c r="F44" s="394"/>
      <c r="G44" s="394"/>
      <c r="H44" s="394"/>
      <c r="I44" s="394"/>
      <c r="J44" s="394"/>
    </row>
    <row r="45" spans="1:10" s="392" customFormat="1" hidden="1">
      <c r="A45" s="386"/>
      <c r="B45" s="387"/>
      <c r="C45" s="388"/>
      <c r="D45" s="385"/>
      <c r="F45" s="394"/>
      <c r="G45" s="394"/>
      <c r="H45" s="394"/>
      <c r="I45" s="394"/>
      <c r="J45" s="394"/>
    </row>
    <row r="46" spans="1:10" s="392" customFormat="1" hidden="1">
      <c r="A46" s="386"/>
      <c r="B46" s="387"/>
      <c r="C46" s="388"/>
      <c r="D46" s="385"/>
      <c r="F46" s="394"/>
      <c r="G46" s="394"/>
      <c r="H46" s="394"/>
      <c r="I46" s="394"/>
      <c r="J46" s="394"/>
    </row>
    <row r="47" spans="1:10" s="392" customFormat="1" hidden="1">
      <c r="A47" s="386"/>
      <c r="B47" s="387"/>
      <c r="C47" s="388"/>
      <c r="D47" s="385"/>
      <c r="F47" s="394"/>
      <c r="G47" s="394"/>
      <c r="H47" s="394"/>
      <c r="I47" s="394"/>
      <c r="J47" s="394"/>
    </row>
    <row r="48" spans="1:10" s="392" customFormat="1" hidden="1">
      <c r="A48" s="386"/>
      <c r="B48" s="387"/>
      <c r="C48" s="388"/>
      <c r="D48" s="385"/>
      <c r="F48" s="394"/>
      <c r="G48" s="394"/>
      <c r="H48" s="394"/>
      <c r="I48" s="394"/>
      <c r="J48" s="394"/>
    </row>
    <row r="49" spans="1:10" s="392" customFormat="1" hidden="1">
      <c r="A49" s="386"/>
      <c r="B49" s="387"/>
      <c r="C49" s="388"/>
      <c r="D49" s="385"/>
      <c r="F49" s="394"/>
      <c r="G49" s="394"/>
      <c r="H49" s="394"/>
      <c r="I49" s="394"/>
      <c r="J49" s="394"/>
    </row>
    <row r="50" spans="1:10" s="392" customFormat="1" hidden="1">
      <c r="A50" s="386"/>
      <c r="B50" s="387"/>
      <c r="C50" s="388"/>
      <c r="D50" s="385"/>
      <c r="F50" s="394"/>
      <c r="G50" s="394"/>
      <c r="H50" s="394"/>
      <c r="I50" s="394"/>
      <c r="J50" s="394"/>
    </row>
    <row r="51" spans="1:10" s="392" customFormat="1" hidden="1">
      <c r="A51" s="386"/>
      <c r="B51" s="387"/>
      <c r="C51" s="388"/>
      <c r="D51" s="385"/>
      <c r="F51" s="394"/>
      <c r="G51" s="394"/>
      <c r="H51" s="394"/>
      <c r="I51" s="394"/>
      <c r="J51" s="394"/>
    </row>
    <row r="52" spans="1:10" s="392" customFormat="1" hidden="1">
      <c r="A52" s="386"/>
      <c r="B52" s="387"/>
      <c r="C52" s="388"/>
      <c r="D52" s="385"/>
      <c r="F52" s="394"/>
      <c r="G52" s="394"/>
      <c r="H52" s="394"/>
      <c r="I52" s="394"/>
      <c r="J52" s="394"/>
    </row>
    <row r="53" spans="1:10" s="392" customFormat="1" hidden="1">
      <c r="A53" s="386"/>
      <c r="B53" s="387"/>
      <c r="C53" s="388"/>
      <c r="D53" s="385"/>
      <c r="F53" s="394"/>
      <c r="G53" s="394"/>
      <c r="H53" s="394"/>
      <c r="I53" s="394"/>
      <c r="J53" s="394"/>
    </row>
    <row r="54" spans="1:10" s="392" customFormat="1" hidden="1">
      <c r="A54" s="386"/>
      <c r="B54" s="387"/>
      <c r="C54" s="388"/>
      <c r="D54" s="385"/>
      <c r="F54" s="394"/>
      <c r="G54" s="394"/>
      <c r="H54" s="394"/>
      <c r="I54" s="394"/>
      <c r="J54" s="394"/>
    </row>
    <row r="55" spans="1:10" s="392" customFormat="1" hidden="1">
      <c r="A55" s="386"/>
      <c r="B55" s="387"/>
      <c r="C55" s="388"/>
      <c r="D55" s="385"/>
      <c r="F55" s="394"/>
      <c r="G55" s="394"/>
      <c r="H55" s="394"/>
      <c r="I55" s="394"/>
      <c r="J55" s="394"/>
    </row>
    <row r="56" spans="1:10" s="392" customFormat="1" hidden="1">
      <c r="A56" s="386"/>
      <c r="B56" s="387"/>
      <c r="C56" s="388"/>
      <c r="D56" s="385"/>
      <c r="F56" s="394"/>
      <c r="G56" s="394"/>
      <c r="H56" s="394"/>
      <c r="I56" s="394"/>
      <c r="J56" s="394"/>
    </row>
    <row r="57" spans="1:10" s="392" customFormat="1" hidden="1">
      <c r="A57" s="386"/>
      <c r="B57" s="387"/>
      <c r="C57" s="388"/>
      <c r="D57" s="385"/>
      <c r="F57" s="394"/>
      <c r="G57" s="394"/>
      <c r="H57" s="394"/>
      <c r="I57" s="394"/>
      <c r="J57" s="394"/>
    </row>
    <row r="58" spans="1:10" s="392" customFormat="1" hidden="1">
      <c r="A58" s="386"/>
      <c r="B58" s="387"/>
      <c r="C58" s="388"/>
      <c r="D58" s="385"/>
      <c r="F58" s="394"/>
      <c r="G58" s="394"/>
      <c r="H58" s="394"/>
      <c r="I58" s="394"/>
      <c r="J58" s="394"/>
    </row>
    <row r="59" spans="1:10" s="392" customFormat="1" hidden="1">
      <c r="A59" s="386"/>
      <c r="B59" s="387"/>
      <c r="C59" s="388"/>
      <c r="D59" s="385"/>
      <c r="F59" s="394"/>
      <c r="G59" s="394"/>
      <c r="H59" s="394"/>
      <c r="I59" s="394"/>
      <c r="J59" s="394"/>
    </row>
    <row r="60" spans="1:10" s="392" customFormat="1" hidden="1">
      <c r="A60" s="386"/>
      <c r="B60" s="387"/>
      <c r="C60" s="388"/>
      <c r="D60" s="385"/>
      <c r="F60" s="394"/>
      <c r="G60" s="394"/>
      <c r="H60" s="394"/>
      <c r="I60" s="394"/>
      <c r="J60" s="394"/>
    </row>
    <row r="61" spans="1:10" s="392" customFormat="1" hidden="1">
      <c r="A61" s="386"/>
      <c r="B61" s="387"/>
      <c r="C61" s="388"/>
      <c r="D61" s="385"/>
      <c r="F61" s="394"/>
      <c r="G61" s="394"/>
      <c r="H61" s="394"/>
      <c r="I61" s="394"/>
      <c r="J61" s="394"/>
    </row>
    <row r="62" spans="1:10" s="392" customFormat="1" hidden="1">
      <c r="A62" s="386"/>
      <c r="B62" s="387"/>
      <c r="C62" s="388"/>
      <c r="D62" s="385"/>
      <c r="F62" s="394"/>
      <c r="G62" s="394"/>
      <c r="H62" s="394"/>
      <c r="I62" s="394"/>
      <c r="J62" s="394"/>
    </row>
    <row r="63" spans="1:10" s="392" customFormat="1" hidden="1">
      <c r="A63" s="386"/>
      <c r="B63" s="387"/>
      <c r="C63" s="388"/>
      <c r="D63" s="385"/>
      <c r="F63" s="394"/>
      <c r="G63" s="394"/>
      <c r="H63" s="394"/>
      <c r="I63" s="394"/>
      <c r="J63" s="394"/>
    </row>
    <row r="64" spans="1:10" s="392" customFormat="1" hidden="1">
      <c r="A64" s="386"/>
      <c r="B64" s="387"/>
      <c r="C64" s="388"/>
      <c r="D64" s="385"/>
      <c r="F64" s="394"/>
      <c r="G64" s="394"/>
      <c r="H64" s="394"/>
      <c r="I64" s="394"/>
      <c r="J64" s="394"/>
    </row>
    <row r="65" spans="1:10" s="392" customFormat="1" hidden="1">
      <c r="A65" s="386"/>
      <c r="B65" s="387"/>
      <c r="C65" s="388"/>
      <c r="D65" s="385"/>
      <c r="F65" s="394"/>
      <c r="G65" s="394"/>
      <c r="H65" s="394"/>
      <c r="I65" s="394"/>
      <c r="J65" s="394"/>
    </row>
    <row r="66" spans="1:10" s="392" customFormat="1" hidden="1">
      <c r="A66" s="386"/>
      <c r="B66" s="387"/>
      <c r="C66" s="388"/>
      <c r="D66" s="385"/>
      <c r="F66" s="394"/>
      <c r="G66" s="394"/>
      <c r="H66" s="394"/>
      <c r="I66" s="394"/>
      <c r="J66" s="394"/>
    </row>
    <row r="67" spans="1:10" s="392" customFormat="1" hidden="1">
      <c r="A67" s="386"/>
      <c r="B67" s="387"/>
      <c r="C67" s="388"/>
      <c r="D67" s="385"/>
      <c r="F67" s="394"/>
      <c r="G67" s="394"/>
      <c r="H67" s="394"/>
      <c r="I67" s="394"/>
      <c r="J67" s="394"/>
    </row>
    <row r="68" spans="1:10" s="392" customFormat="1" hidden="1">
      <c r="A68" s="386"/>
      <c r="B68" s="387"/>
      <c r="C68" s="388"/>
      <c r="D68" s="385"/>
      <c r="F68" s="394"/>
      <c r="G68" s="394"/>
      <c r="H68" s="394"/>
      <c r="I68" s="394"/>
      <c r="J68" s="394"/>
    </row>
    <row r="69" spans="1:10" s="392" customFormat="1" hidden="1">
      <c r="A69" s="386"/>
      <c r="B69" s="387"/>
      <c r="C69" s="388"/>
      <c r="D69" s="385"/>
      <c r="F69" s="394"/>
      <c r="G69" s="394"/>
      <c r="H69" s="394"/>
      <c r="I69" s="394"/>
      <c r="J69" s="394"/>
    </row>
    <row r="70" spans="1:10" s="392" customFormat="1" ht="13.5" hidden="1" thickBot="1">
      <c r="A70" s="386"/>
      <c r="B70" s="387"/>
      <c r="C70" s="388"/>
      <c r="D70" s="385"/>
      <c r="F70" s="394"/>
      <c r="G70" s="394"/>
      <c r="H70" s="394"/>
      <c r="I70" s="394"/>
      <c r="J70" s="394"/>
    </row>
    <row r="71" spans="1:10" ht="16.5" thickBot="1">
      <c r="A71" s="349" t="s">
        <v>194</v>
      </c>
      <c r="B71" s="350"/>
      <c r="C71" s="350"/>
      <c r="D71" s="384">
        <f>SUM(D8:D70)</f>
        <v>17102.187517724484</v>
      </c>
      <c r="E71" s="345"/>
      <c r="F71" s="348"/>
    </row>
    <row r="72" spans="1:10">
      <c r="A72" s="345"/>
      <c r="B72" s="345"/>
      <c r="C72" s="345"/>
      <c r="D72" s="345"/>
      <c r="E72" s="345"/>
      <c r="F72" s="348"/>
    </row>
    <row r="73" spans="1:10">
      <c r="A73" s="345"/>
      <c r="B73" s="345"/>
      <c r="C73" s="345"/>
      <c r="D73" s="345"/>
      <c r="E73" s="345"/>
      <c r="F73" s="348"/>
    </row>
    <row r="74" spans="1:10">
      <c r="A74" s="345"/>
      <c r="B74" s="345"/>
      <c r="C74" s="345"/>
      <c r="D74" s="345"/>
      <c r="E74" s="345"/>
      <c r="F74" s="348"/>
    </row>
    <row r="75" spans="1:10">
      <c r="A75" s="345"/>
      <c r="B75" s="345"/>
      <c r="C75" s="345"/>
      <c r="D75" s="345"/>
      <c r="E75" s="345"/>
      <c r="F75" s="348"/>
    </row>
    <row r="76" spans="1:10">
      <c r="A76" s="345"/>
      <c r="B76" s="345"/>
      <c r="C76" s="345"/>
      <c r="D76" s="345"/>
      <c r="E76" s="345"/>
      <c r="F76" s="348"/>
    </row>
    <row r="77" spans="1:10">
      <c r="A77" s="345"/>
      <c r="B77" s="345"/>
      <c r="C77" s="345"/>
      <c r="D77" s="345"/>
      <c r="E77" s="345"/>
      <c r="F77" s="348"/>
    </row>
    <row r="78" spans="1:10">
      <c r="A78" s="345"/>
      <c r="B78" s="345"/>
      <c r="C78" s="345"/>
      <c r="D78" s="345"/>
      <c r="E78" s="345"/>
      <c r="F78" s="348"/>
    </row>
    <row r="79" spans="1:10">
      <c r="A79" s="345"/>
      <c r="B79" s="345"/>
      <c r="C79" s="345"/>
      <c r="D79" s="345"/>
      <c r="E79" s="345"/>
      <c r="F79" s="348"/>
    </row>
    <row r="80" spans="1:10">
      <c r="A80" s="345"/>
      <c r="B80" s="345"/>
      <c r="C80" s="345"/>
      <c r="D80" s="345"/>
      <c r="E80" s="345"/>
      <c r="F80" s="348"/>
    </row>
    <row r="81" spans="1:6">
      <c r="A81" s="345"/>
      <c r="B81" s="345"/>
      <c r="C81" s="345"/>
      <c r="D81" s="345"/>
      <c r="E81" s="345"/>
      <c r="F81" s="348"/>
    </row>
    <row r="82" spans="1:6">
      <c r="A82" s="345"/>
      <c r="B82" s="345"/>
      <c r="C82" s="345"/>
      <c r="D82" s="345"/>
      <c r="E82" s="345"/>
      <c r="F82" s="348"/>
    </row>
    <row r="83" spans="1:6">
      <c r="A83" s="345"/>
      <c r="B83" s="345"/>
      <c r="C83" s="345"/>
      <c r="D83" s="345"/>
      <c r="E83" s="345"/>
      <c r="F83" s="348"/>
    </row>
    <row r="84" spans="1:6">
      <c r="A84" s="345"/>
      <c r="B84" s="345"/>
      <c r="C84" s="345"/>
      <c r="D84" s="345"/>
      <c r="E84" s="345"/>
      <c r="F84" s="348"/>
    </row>
    <row r="85" spans="1:6">
      <c r="A85" s="345"/>
      <c r="B85" s="345"/>
      <c r="C85" s="345"/>
      <c r="D85" s="345"/>
      <c r="E85" s="345"/>
      <c r="F85" s="348"/>
    </row>
    <row r="86" spans="1:6">
      <c r="A86" s="345"/>
      <c r="B86" s="345"/>
      <c r="C86" s="345"/>
      <c r="D86" s="345"/>
      <c r="E86" s="345"/>
      <c r="F86" s="348"/>
    </row>
    <row r="87" spans="1:6">
      <c r="A87" s="345"/>
      <c r="B87" s="345"/>
      <c r="C87" s="345"/>
      <c r="D87" s="345"/>
      <c r="E87" s="345"/>
      <c r="F87" s="348"/>
    </row>
    <row r="88" spans="1:6">
      <c r="A88" s="345"/>
      <c r="B88" s="345"/>
      <c r="C88" s="345"/>
      <c r="D88" s="345"/>
      <c r="E88" s="345"/>
      <c r="F88" s="348"/>
    </row>
    <row r="89" spans="1:6">
      <c r="A89" s="345"/>
      <c r="B89" s="345"/>
      <c r="C89" s="345"/>
      <c r="D89" s="345"/>
      <c r="E89" s="345"/>
      <c r="F89" s="348"/>
    </row>
    <row r="90" spans="1:6">
      <c r="A90" s="345"/>
      <c r="B90" s="345"/>
      <c r="C90" s="345"/>
      <c r="D90" s="345"/>
      <c r="E90" s="345"/>
      <c r="F90" s="348"/>
    </row>
    <row r="91" spans="1:6">
      <c r="A91" s="345"/>
      <c r="B91" s="345"/>
      <c r="C91" s="345"/>
      <c r="D91" s="345"/>
      <c r="E91" s="345"/>
      <c r="F91" s="348"/>
    </row>
    <row r="92" spans="1:6">
      <c r="A92" s="345"/>
      <c r="B92" s="345"/>
      <c r="C92" s="345"/>
      <c r="D92" s="345"/>
      <c r="E92" s="345"/>
      <c r="F92" s="348"/>
    </row>
    <row r="93" spans="1:6">
      <c r="A93" s="345"/>
      <c r="B93" s="345"/>
      <c r="C93" s="345"/>
      <c r="D93" s="345"/>
      <c r="E93" s="345"/>
      <c r="F93" s="348"/>
    </row>
    <row r="94" spans="1:6">
      <c r="A94" s="345"/>
      <c r="B94" s="345"/>
      <c r="C94" s="345"/>
      <c r="D94" s="345"/>
      <c r="E94" s="345"/>
      <c r="F94" s="348"/>
    </row>
    <row r="95" spans="1:6">
      <c r="A95" s="345"/>
      <c r="B95" s="345"/>
      <c r="C95" s="345"/>
      <c r="D95" s="345"/>
      <c r="E95" s="345"/>
      <c r="F95" s="348"/>
    </row>
    <row r="96" spans="1:6">
      <c r="A96" s="345"/>
      <c r="B96" s="345"/>
      <c r="C96" s="345"/>
      <c r="D96" s="345"/>
      <c r="E96" s="345"/>
      <c r="F96" s="348"/>
    </row>
    <row r="97" spans="1:6">
      <c r="A97" s="345"/>
      <c r="B97" s="345"/>
      <c r="C97" s="345"/>
      <c r="D97" s="345"/>
      <c r="E97" s="345"/>
      <c r="F97" s="348"/>
    </row>
    <row r="98" spans="1:6">
      <c r="A98" s="345"/>
      <c r="B98" s="345"/>
      <c r="C98" s="345"/>
      <c r="D98" s="345"/>
      <c r="E98" s="345"/>
      <c r="F98" s="348"/>
    </row>
    <row r="99" spans="1:6">
      <c r="A99" s="345"/>
      <c r="B99" s="345"/>
      <c r="C99" s="345"/>
      <c r="D99" s="345"/>
      <c r="E99" s="345"/>
      <c r="F99" s="348"/>
    </row>
    <row r="100" spans="1:6">
      <c r="A100" s="345"/>
      <c r="B100" s="345"/>
      <c r="C100" s="345"/>
      <c r="D100" s="345"/>
      <c r="E100" s="345"/>
      <c r="F100" s="348"/>
    </row>
    <row r="101" spans="1:6">
      <c r="A101" s="345"/>
      <c r="B101" s="345"/>
      <c r="C101" s="345"/>
      <c r="D101" s="345"/>
      <c r="E101" s="345"/>
      <c r="F101" s="348"/>
    </row>
    <row r="102" spans="1:6">
      <c r="A102" s="345"/>
      <c r="B102" s="345"/>
      <c r="C102" s="345"/>
      <c r="D102" s="345"/>
      <c r="E102" s="345"/>
      <c r="F102" s="348"/>
    </row>
    <row r="103" spans="1:6">
      <c r="A103" s="345"/>
      <c r="B103" s="345"/>
      <c r="C103" s="345"/>
      <c r="D103" s="345"/>
      <c r="E103" s="345"/>
      <c r="F103" s="348"/>
    </row>
    <row r="104" spans="1:6">
      <c r="A104" s="345"/>
      <c r="B104" s="345"/>
      <c r="C104" s="345"/>
      <c r="D104" s="345"/>
      <c r="E104" s="345"/>
      <c r="F104" s="348"/>
    </row>
    <row r="105" spans="1:6">
      <c r="A105" s="345"/>
      <c r="B105" s="345"/>
      <c r="C105" s="345"/>
      <c r="D105" s="345"/>
      <c r="E105" s="345"/>
      <c r="F105" s="348"/>
    </row>
    <row r="106" spans="1:6">
      <c r="A106" s="345"/>
      <c r="B106" s="345"/>
      <c r="C106" s="345"/>
      <c r="D106" s="345"/>
      <c r="E106" s="345"/>
      <c r="F106" s="348"/>
    </row>
    <row r="107" spans="1:6">
      <c r="A107" s="345"/>
      <c r="B107" s="345"/>
      <c r="C107" s="345"/>
      <c r="D107" s="345"/>
      <c r="E107" s="345"/>
      <c r="F107" s="348"/>
    </row>
  </sheetData>
  <mergeCells count="5">
    <mergeCell ref="A1:C1"/>
    <mergeCell ref="A2:D2"/>
    <mergeCell ref="G6:G7"/>
    <mergeCell ref="H6:H7"/>
    <mergeCell ref="I6:I7"/>
  </mergeCells>
  <conditionalFormatting sqref="A9 A15">
    <cfRule type="expression" dxfId="12" priority="13">
      <formula>A9=""</formula>
    </cfRule>
  </conditionalFormatting>
  <conditionalFormatting sqref="C9">
    <cfRule type="expression" dxfId="11" priority="12">
      <formula>C9=""</formula>
    </cfRule>
  </conditionalFormatting>
  <conditionalFormatting sqref="D9">
    <cfRule type="expression" dxfId="10" priority="11">
      <formula>D9=""</formula>
    </cfRule>
  </conditionalFormatting>
  <conditionalFormatting sqref="A10:A70">
    <cfRule type="expression" dxfId="9" priority="10">
      <formula>A10=""</formula>
    </cfRule>
  </conditionalFormatting>
  <conditionalFormatting sqref="C10:C70">
    <cfRule type="expression" dxfId="8" priority="9">
      <formula>C10=""</formula>
    </cfRule>
  </conditionalFormatting>
  <conditionalFormatting sqref="D10:D70">
    <cfRule type="expression" dxfId="7" priority="8">
      <formula>D10=""</formula>
    </cfRule>
  </conditionalFormatting>
  <conditionalFormatting sqref="G8:G32">
    <cfRule type="expression" dxfId="6" priority="7">
      <formula>G8=""</formula>
    </cfRule>
  </conditionalFormatting>
  <conditionalFormatting sqref="I8:I32">
    <cfRule type="expression" dxfId="5" priority="4">
      <formula>I8=0</formula>
    </cfRule>
    <cfRule type="expression" dxfId="4" priority="5">
      <formula>I8&gt;0</formula>
    </cfRule>
    <cfRule type="expression" dxfId="3" priority="6">
      <formula>I8=""</formula>
    </cfRule>
  </conditionalFormatting>
  <conditionalFormatting sqref="A8 A14">
    <cfRule type="expression" dxfId="2" priority="3">
      <formula>A8=""</formula>
    </cfRule>
  </conditionalFormatting>
  <conditionalFormatting sqref="C8">
    <cfRule type="expression" dxfId="1" priority="2">
      <formula>C8=""</formula>
    </cfRule>
  </conditionalFormatting>
  <conditionalFormatting sqref="D8">
    <cfRule type="expression" dxfId="0" priority="1">
      <formula>D8=""</formula>
    </cfRule>
  </conditionalFormatting>
  <dataValidations disablePrompts="1" count="1">
    <dataValidation type="textLength" operator="lessThan" allowBlank="1" showInputMessage="1" showErrorMessage="1" errorTitle="Příliš dlouhý text !" error="Maximální délka textu je 100 znaků včetně mezer." sqref="A4:B4">
      <formula1>151</formula1>
    </dataValidation>
  </dataValidations>
  <pageMargins left="0.70866141732283472" right="0.70866141732283472" top="0.78740157480314965" bottom="0.78740157480314965" header="0.31496062992125984" footer="0.31496062992125984"/>
  <pageSetup paperSize="9" scale="72" fitToHeight="9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80</vt:lpstr>
      <vt:lpstr>81</vt:lpstr>
      <vt:lpstr>x_81</vt:lpstr>
      <vt:lpstr>83</vt:lpstr>
      <vt:lpstr>'80'!Oblast_tisku</vt:lpstr>
      <vt:lpstr>'81'!Oblast_tisku</vt:lpstr>
      <vt:lpstr>'83'!Oblast_tisku</vt:lpstr>
      <vt:lpstr>x_81!Oblast_tisku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2020-05-28T08:08:04Z</dcterms:modified>
</cp:coreProperties>
</file>